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985" windowWidth="20730" windowHeight="9465" firstSheet="8" activeTab="8"/>
  </bookViews>
  <sheets>
    <sheet name="2017" sheetId="1" r:id="rId1"/>
    <sheet name="2018" sheetId="4" r:id="rId2"/>
    <sheet name="2019 ПЛЮС НМЦК НЕ СОСТОЯЛИСЬ" sheetId="7" r:id="rId3"/>
    <sheet name="2019 (2)" sheetId="8" r:id="rId4"/>
    <sheet name="ПРИЛОЖЕНИЕ 1 К ОТЧЕТУ плюс НМЦК" sheetId="9" r:id="rId5"/>
    <sheet name="ПРИЛОЖЕНИЕ К ОТЧЕТУ №1 2020" sheetId="10" r:id="rId6"/>
    <sheet name="2020 " sheetId="13" r:id="rId7"/>
    <sheet name="Приложение к отчету №1 2020 год" sheetId="15" r:id="rId8"/>
    <sheet name="Приоложение к отчету №1 2022год" sheetId="21" r:id="rId9"/>
  </sheets>
  <calcPr calcId="144525"/>
</workbook>
</file>

<file path=xl/calcChain.xml><?xml version="1.0" encoding="utf-8"?>
<calcChain xmlns="http://schemas.openxmlformats.org/spreadsheetml/2006/main">
  <c r="T68" i="21" l="1"/>
  <c r="T67" i="21"/>
  <c r="S70" i="21"/>
  <c r="S69" i="21"/>
  <c r="S68" i="21"/>
  <c r="S67" i="21"/>
  <c r="S63" i="21"/>
  <c r="T65" i="21"/>
  <c r="T63" i="21"/>
  <c r="T64" i="21"/>
  <c r="T59" i="21"/>
  <c r="T55" i="21"/>
  <c r="T51" i="21"/>
  <c r="T41" i="21" l="1"/>
  <c r="T39" i="21"/>
  <c r="T33" i="21"/>
  <c r="T32" i="21"/>
  <c r="T31" i="21"/>
  <c r="T19" i="21" l="1"/>
  <c r="T15" i="21" l="1"/>
  <c r="T16" i="21"/>
  <c r="Y70" i="13" l="1"/>
  <c r="Z117" i="21"/>
  <c r="Q69" i="21"/>
  <c r="P69" i="21"/>
  <c r="R69" i="21" s="1"/>
  <c r="N69" i="21"/>
  <c r="M69" i="21"/>
  <c r="K69" i="21"/>
  <c r="H69" i="21"/>
  <c r="G69" i="21"/>
  <c r="E69" i="21"/>
  <c r="D69" i="21"/>
  <c r="L68" i="21"/>
  <c r="L69" i="21" s="1"/>
  <c r="J68" i="21"/>
  <c r="J69" i="21" s="1"/>
  <c r="I68" i="21"/>
  <c r="F68" i="21"/>
  <c r="F69" i="21" s="1"/>
  <c r="R67" i="21"/>
  <c r="O67" i="21"/>
  <c r="I67" i="21"/>
  <c r="Q65" i="21"/>
  <c r="P65" i="21"/>
  <c r="O65" i="21"/>
  <c r="N65" i="21"/>
  <c r="M65" i="21"/>
  <c r="K65" i="21"/>
  <c r="J65" i="21"/>
  <c r="I65" i="21"/>
  <c r="H65" i="21"/>
  <c r="G65" i="21"/>
  <c r="E65" i="21"/>
  <c r="D65" i="21"/>
  <c r="R64" i="21"/>
  <c r="L64" i="21"/>
  <c r="I64" i="21"/>
  <c r="F64" i="21"/>
  <c r="S64" i="21" s="1"/>
  <c r="R63" i="21"/>
  <c r="R65" i="21" s="1"/>
  <c r="O63" i="21"/>
  <c r="L63" i="21"/>
  <c r="L65" i="21" s="1"/>
  <c r="L70" i="21" s="1"/>
  <c r="I63" i="21"/>
  <c r="F63" i="21"/>
  <c r="R61" i="21"/>
  <c r="Q61" i="21"/>
  <c r="P61" i="21"/>
  <c r="N61" i="21"/>
  <c r="M61" i="21"/>
  <c r="L61" i="21"/>
  <c r="K61" i="21"/>
  <c r="J61" i="21"/>
  <c r="H61" i="21"/>
  <c r="G61" i="21"/>
  <c r="F61" i="21"/>
  <c r="E61" i="21"/>
  <c r="D61" i="21"/>
  <c r="R60" i="21"/>
  <c r="I60" i="21"/>
  <c r="S60" i="21" s="1"/>
  <c r="F60" i="21"/>
  <c r="R59" i="21"/>
  <c r="O59" i="21"/>
  <c r="O61" i="21" s="1"/>
  <c r="L59" i="21"/>
  <c r="I59" i="21"/>
  <c r="I61" i="21" s="1"/>
  <c r="F59" i="21"/>
  <c r="Q57" i="21"/>
  <c r="P57" i="21"/>
  <c r="N57" i="21"/>
  <c r="M57" i="21"/>
  <c r="L57" i="21"/>
  <c r="K57" i="21"/>
  <c r="J57" i="21"/>
  <c r="H57" i="21"/>
  <c r="G57" i="21"/>
  <c r="E57" i="21"/>
  <c r="D57" i="21"/>
  <c r="R56" i="21"/>
  <c r="I56" i="21"/>
  <c r="F56" i="21"/>
  <c r="S56" i="21" s="1"/>
  <c r="R55" i="21"/>
  <c r="R57" i="21" s="1"/>
  <c r="O55" i="21"/>
  <c r="O57" i="21" s="1"/>
  <c r="L55" i="21"/>
  <c r="I55" i="21"/>
  <c r="I57" i="21" s="1"/>
  <c r="F55" i="21"/>
  <c r="S55" i="21" s="1"/>
  <c r="Q53" i="21"/>
  <c r="P53" i="21"/>
  <c r="O53" i="21"/>
  <c r="N53" i="21"/>
  <c r="M53" i="21"/>
  <c r="L53" i="21"/>
  <c r="K53" i="21"/>
  <c r="J53" i="21"/>
  <c r="H53" i="21"/>
  <c r="G53" i="21"/>
  <c r="E53" i="21"/>
  <c r="D53" i="21"/>
  <c r="R52" i="21"/>
  <c r="I52" i="21"/>
  <c r="I53" i="21" s="1"/>
  <c r="F52" i="21"/>
  <c r="R51" i="21"/>
  <c r="R53" i="21" s="1"/>
  <c r="O51" i="21"/>
  <c r="F51" i="21"/>
  <c r="Q49" i="21"/>
  <c r="P49" i="21"/>
  <c r="O49" i="21"/>
  <c r="N49" i="21"/>
  <c r="M49" i="21"/>
  <c r="K49" i="21"/>
  <c r="J49" i="21"/>
  <c r="I49" i="21"/>
  <c r="H49" i="21"/>
  <c r="G49" i="21"/>
  <c r="E49" i="21"/>
  <c r="D49" i="21"/>
  <c r="R48" i="21"/>
  <c r="L48" i="21"/>
  <c r="I48" i="21"/>
  <c r="F48" i="21"/>
  <c r="S48" i="21" s="1"/>
  <c r="R47" i="21"/>
  <c r="R49" i="21" s="1"/>
  <c r="O47" i="21"/>
  <c r="L47" i="21"/>
  <c r="I47" i="21"/>
  <c r="F47" i="21"/>
  <c r="Q45" i="21"/>
  <c r="P45" i="21"/>
  <c r="O45" i="21"/>
  <c r="N45" i="21"/>
  <c r="M45" i="21"/>
  <c r="K45" i="21"/>
  <c r="J45" i="21"/>
  <c r="H45" i="21"/>
  <c r="G45" i="21"/>
  <c r="E45" i="21"/>
  <c r="D45" i="21"/>
  <c r="R44" i="21"/>
  <c r="L44" i="21"/>
  <c r="I44" i="21"/>
  <c r="F44" i="21"/>
  <c r="S44" i="21" s="1"/>
  <c r="R43" i="21"/>
  <c r="R45" i="21" s="1"/>
  <c r="L43" i="21"/>
  <c r="L45" i="21" s="1"/>
  <c r="I43" i="21"/>
  <c r="I45" i="21" s="1"/>
  <c r="F43" i="21"/>
  <c r="S43" i="21" s="1"/>
  <c r="S45" i="21" s="1"/>
  <c r="Q41" i="21"/>
  <c r="P41" i="21"/>
  <c r="O41" i="21"/>
  <c r="N41" i="21"/>
  <c r="M41" i="21"/>
  <c r="L41" i="21"/>
  <c r="K41" i="21"/>
  <c r="J41" i="21"/>
  <c r="H41" i="21"/>
  <c r="G41" i="21"/>
  <c r="E41" i="21"/>
  <c r="D41" i="21"/>
  <c r="R40" i="21"/>
  <c r="I40" i="21"/>
  <c r="F40" i="21"/>
  <c r="S40" i="21" s="1"/>
  <c r="R39" i="21"/>
  <c r="R41" i="21" s="1"/>
  <c r="I39" i="21"/>
  <c r="I41" i="21" s="1"/>
  <c r="F39" i="21"/>
  <c r="S39" i="21" s="1"/>
  <c r="S41" i="21" s="1"/>
  <c r="Q37" i="21"/>
  <c r="P37" i="21"/>
  <c r="O37" i="21"/>
  <c r="N37" i="21"/>
  <c r="M37" i="21"/>
  <c r="K37" i="21"/>
  <c r="J37" i="21"/>
  <c r="H37" i="21"/>
  <c r="G37" i="21"/>
  <c r="E37" i="21"/>
  <c r="D37" i="21"/>
  <c r="R36" i="21"/>
  <c r="L36" i="21"/>
  <c r="L37" i="21" s="1"/>
  <c r="F36" i="21"/>
  <c r="R35" i="21"/>
  <c r="R37" i="21" s="1"/>
  <c r="O35" i="21"/>
  <c r="I35" i="21"/>
  <c r="I37" i="21" s="1"/>
  <c r="F35" i="21"/>
  <c r="S35" i="21" s="1"/>
  <c r="Q33" i="21"/>
  <c r="P33" i="21"/>
  <c r="N33" i="21"/>
  <c r="M33" i="21"/>
  <c r="L33" i="21"/>
  <c r="K33" i="21"/>
  <c r="J33" i="21"/>
  <c r="H33" i="21"/>
  <c r="G33" i="21"/>
  <c r="E33" i="21"/>
  <c r="D33" i="21"/>
  <c r="R32" i="21"/>
  <c r="I32" i="21"/>
  <c r="F32" i="21"/>
  <c r="S32" i="21" s="1"/>
  <c r="R31" i="21"/>
  <c r="R33" i="21" s="1"/>
  <c r="O31" i="21"/>
  <c r="O33" i="21" s="1"/>
  <c r="L31" i="21"/>
  <c r="I31" i="21"/>
  <c r="I33" i="21" s="1"/>
  <c r="F31" i="21"/>
  <c r="S31" i="21" s="1"/>
  <c r="Q29" i="21"/>
  <c r="P29" i="21"/>
  <c r="N29" i="21"/>
  <c r="M29" i="21"/>
  <c r="K29" i="21"/>
  <c r="J29" i="21"/>
  <c r="H29" i="21"/>
  <c r="G29" i="21"/>
  <c r="E29" i="21"/>
  <c r="D29" i="21"/>
  <c r="R28" i="21"/>
  <c r="O28" i="21"/>
  <c r="O29" i="21" s="1"/>
  <c r="I28" i="21"/>
  <c r="F28" i="21"/>
  <c r="S28" i="21" s="1"/>
  <c r="R27" i="21"/>
  <c r="R29" i="21" s="1"/>
  <c r="L27" i="21"/>
  <c r="L29" i="21" s="1"/>
  <c r="I27" i="21"/>
  <c r="I29" i="21" s="1"/>
  <c r="F27" i="21"/>
  <c r="Q25" i="21"/>
  <c r="P25" i="21"/>
  <c r="O25" i="21"/>
  <c r="N25" i="21"/>
  <c r="M25" i="21"/>
  <c r="K25" i="21"/>
  <c r="J25" i="21"/>
  <c r="H25" i="21"/>
  <c r="G25" i="21"/>
  <c r="E25" i="21"/>
  <c r="D25" i="21"/>
  <c r="R24" i="21"/>
  <c r="I24" i="21"/>
  <c r="F24" i="21"/>
  <c r="S24" i="21" s="1"/>
  <c r="R23" i="21"/>
  <c r="R25" i="21" s="1"/>
  <c r="L23" i="21"/>
  <c r="L25" i="21" s="1"/>
  <c r="I23" i="21"/>
  <c r="I25" i="21" s="1"/>
  <c r="F23" i="21"/>
  <c r="S23" i="21" s="1"/>
  <c r="S25" i="21" s="1"/>
  <c r="Q21" i="21"/>
  <c r="P21" i="21"/>
  <c r="P70" i="21" s="1"/>
  <c r="N21" i="21"/>
  <c r="M21" i="21"/>
  <c r="K21" i="21"/>
  <c r="J21" i="21"/>
  <c r="H21" i="21"/>
  <c r="H70" i="21" s="1"/>
  <c r="G21" i="21"/>
  <c r="E21" i="21"/>
  <c r="D21" i="21"/>
  <c r="R20" i="21"/>
  <c r="R21" i="21" s="1"/>
  <c r="I20" i="21"/>
  <c r="F20" i="21"/>
  <c r="R19" i="21"/>
  <c r="O19" i="21"/>
  <c r="O21" i="21" s="1"/>
  <c r="L19" i="21"/>
  <c r="L21" i="21" s="1"/>
  <c r="I19" i="21"/>
  <c r="I21" i="21" s="1"/>
  <c r="F19" i="21"/>
  <c r="Q17" i="21"/>
  <c r="Q70" i="21" s="1"/>
  <c r="P17" i="21"/>
  <c r="N17" i="21"/>
  <c r="N70" i="21" s="1"/>
  <c r="M17" i="21"/>
  <c r="M70" i="21" s="1"/>
  <c r="L17" i="21"/>
  <c r="K17" i="21"/>
  <c r="K70" i="21" s="1"/>
  <c r="J17" i="21"/>
  <c r="J70" i="21" s="1"/>
  <c r="I17" i="21"/>
  <c r="H17" i="21"/>
  <c r="G17" i="21"/>
  <c r="G70" i="21" s="1"/>
  <c r="E17" i="21"/>
  <c r="E70" i="21" s="1"/>
  <c r="D17" i="21"/>
  <c r="F17" i="21" s="1"/>
  <c r="R16" i="21"/>
  <c r="R17" i="21" s="1"/>
  <c r="I16" i="21"/>
  <c r="R15" i="21"/>
  <c r="O15" i="21"/>
  <c r="O17" i="21" s="1"/>
  <c r="O70" i="21" s="1"/>
  <c r="F15" i="21"/>
  <c r="R70" i="21" l="1"/>
  <c r="S15" i="21"/>
  <c r="S19" i="21"/>
  <c r="F21" i="21"/>
  <c r="F70" i="21" s="1"/>
  <c r="S36" i="21"/>
  <c r="S37" i="21" s="1"/>
  <c r="F41" i="21"/>
  <c r="F49" i="21"/>
  <c r="S47" i="21"/>
  <c r="S49" i="21" s="1"/>
  <c r="L49" i="21"/>
  <c r="S52" i="21"/>
  <c r="S59" i="21"/>
  <c r="S61" i="21" s="1"/>
  <c r="F65" i="21"/>
  <c r="S65" i="21"/>
  <c r="I69" i="21"/>
  <c r="I70" i="21" s="1"/>
  <c r="D70" i="21"/>
  <c r="S16" i="21"/>
  <c r="S20" i="21"/>
  <c r="S27" i="21"/>
  <c r="S29" i="21" s="1"/>
  <c r="F33" i="21"/>
  <c r="S33" i="21" s="1"/>
  <c r="F53" i="21"/>
  <c r="S51" i="21"/>
  <c r="S57" i="21"/>
  <c r="F57" i="21"/>
  <c r="F25" i="21"/>
  <c r="F29" i="21"/>
  <c r="F37" i="21"/>
  <c r="F45" i="21"/>
  <c r="S21" i="21" l="1"/>
  <c r="S53" i="21"/>
  <c r="S17" i="21"/>
  <c r="I81" i="13" l="1"/>
  <c r="H81" i="13"/>
  <c r="S85" i="13" l="1"/>
  <c r="J108" i="13" l="1"/>
  <c r="R102" i="13"/>
  <c r="Q102" i="13"/>
  <c r="O102" i="13"/>
  <c r="J94" i="13" l="1"/>
  <c r="F87" i="13"/>
  <c r="E102" i="13"/>
  <c r="G92" i="13" l="1"/>
  <c r="E99" i="13" s="1"/>
  <c r="D97" i="13"/>
  <c r="P86" i="13" l="1"/>
  <c r="K95" i="7" l="1"/>
  <c r="J92" i="8"/>
  <c r="F59" i="13"/>
  <c r="E119" i="13" l="1"/>
  <c r="J93" i="7" l="1"/>
  <c r="C121" i="13" l="1"/>
  <c r="E115" i="7"/>
  <c r="M107" i="7"/>
  <c r="M104" i="7"/>
  <c r="J87" i="8" l="1"/>
  <c r="J95" i="8" l="1"/>
  <c r="F116" i="13" l="1"/>
  <c r="F119" i="13"/>
  <c r="E116" i="13"/>
  <c r="M104" i="13"/>
  <c r="R105" i="13"/>
  <c r="R104" i="13"/>
  <c r="R103" i="13"/>
  <c r="S80" i="13"/>
  <c r="Q85" i="13"/>
  <c r="P85" i="13"/>
  <c r="Q80" i="13"/>
  <c r="P80" i="13"/>
  <c r="K102" i="13" l="1"/>
  <c r="R108" i="13"/>
  <c r="R110" i="13" s="1"/>
  <c r="M108" i="13"/>
  <c r="K111" i="13" s="1"/>
  <c r="Q105" i="13"/>
  <c r="Q104" i="13"/>
  <c r="Q103" i="13"/>
  <c r="O104" i="13"/>
  <c r="O108" i="13" s="1"/>
  <c r="B106" i="13"/>
  <c r="C106" i="13"/>
  <c r="C108" i="13" s="1"/>
  <c r="C122" i="13" s="1"/>
  <c r="B121" i="13"/>
  <c r="B108" i="13" l="1"/>
  <c r="Q108" i="13"/>
  <c r="Q110" i="13" s="1"/>
  <c r="B122" i="13"/>
  <c r="A107" i="13" s="1"/>
  <c r="A106" i="13" l="1"/>
  <c r="A121" i="13"/>
  <c r="F89" i="13"/>
  <c r="E104" i="13" s="1"/>
  <c r="F118" i="13"/>
  <c r="E118" i="13"/>
  <c r="F117" i="13"/>
  <c r="E117" i="13"/>
  <c r="E120" i="13" s="1"/>
  <c r="A122" i="13" l="1"/>
  <c r="S87" i="13"/>
  <c r="H78" i="13" l="1"/>
  <c r="F92" i="13"/>
  <c r="F78" i="13" l="1"/>
  <c r="B76" i="13"/>
  <c r="C97" i="13" l="1"/>
  <c r="B79" i="13" l="1"/>
  <c r="C99" i="13"/>
  <c r="F75" i="13" l="1"/>
  <c r="R82" i="13" l="1"/>
  <c r="S82" i="13" s="1"/>
  <c r="Q82" i="13"/>
  <c r="P82" i="13"/>
  <c r="H75" i="13" l="1"/>
  <c r="H80" i="13" s="1"/>
  <c r="S88" i="13"/>
  <c r="S89" i="13" s="1"/>
  <c r="Q87" i="13"/>
  <c r="P87" i="13"/>
  <c r="R86" i="13" l="1"/>
  <c r="R81" i="13"/>
  <c r="Q81" i="13"/>
  <c r="P81" i="13"/>
  <c r="R84" i="13" l="1"/>
  <c r="R91" i="13" s="1"/>
  <c r="Q84" i="13"/>
  <c r="P84" i="13"/>
  <c r="R83" i="13"/>
  <c r="R90" i="13" s="1"/>
  <c r="Q83" i="13"/>
  <c r="P83" i="13"/>
  <c r="R93" i="13" l="1"/>
  <c r="R94" i="13"/>
  <c r="R88" i="13"/>
  <c r="R82" i="8"/>
  <c r="R81" i="8"/>
  <c r="V93" i="13"/>
  <c r="X82" i="13"/>
  <c r="W82" i="13"/>
  <c r="Q88" i="13" l="1"/>
  <c r="P88" i="13"/>
  <c r="I106" i="13" l="1"/>
  <c r="Y82" i="13"/>
  <c r="I102" i="13" l="1"/>
  <c r="I104" i="13"/>
  <c r="I107" i="13"/>
  <c r="I103" i="13"/>
  <c r="I105" i="13"/>
  <c r="I108" i="13"/>
  <c r="V82" i="13"/>
  <c r="X84" i="13" l="1"/>
  <c r="W84" i="13"/>
  <c r="V84" i="13"/>
  <c r="W81" i="13"/>
  <c r="Y84" i="13"/>
  <c r="Y85" i="13"/>
  <c r="Y81" i="13"/>
  <c r="X81" i="13"/>
  <c r="V81" i="13"/>
  <c r="V85" i="13" s="1"/>
  <c r="W85" i="13" l="1"/>
  <c r="X85" i="13"/>
  <c r="W113" i="13"/>
  <c r="Y113" i="13"/>
  <c r="V113" i="13"/>
  <c r="W104" i="13"/>
  <c r="V104" i="13"/>
  <c r="X113" i="13"/>
  <c r="X112" i="13"/>
  <c r="Z112" i="13"/>
  <c r="X104" i="13"/>
  <c r="Y104" i="13"/>
  <c r="Z104" i="13"/>
  <c r="Y112" i="13"/>
  <c r="V112" i="13"/>
  <c r="Z113" i="13"/>
  <c r="Z111" i="13"/>
  <c r="Y111" i="13"/>
  <c r="Z102" i="13"/>
  <c r="Y102" i="13"/>
  <c r="Y105" i="13"/>
  <c r="V102" i="13"/>
  <c r="V118" i="13"/>
  <c r="Z116" i="13" l="1"/>
  <c r="Y116" i="13"/>
  <c r="Y118" i="13" s="1"/>
  <c r="W112" i="13" l="1"/>
  <c r="X102" i="13"/>
  <c r="W102" i="13"/>
  <c r="X111" i="13"/>
  <c r="X115" i="13" s="1"/>
  <c r="W111" i="13"/>
  <c r="W115" i="13" s="1"/>
  <c r="V111" i="13"/>
  <c r="V115" i="13" s="1"/>
  <c r="X105" i="13"/>
  <c r="W105" i="13"/>
  <c r="W106" i="13" s="1"/>
  <c r="V105" i="13"/>
  <c r="V106" i="13" s="1"/>
  <c r="V116" i="13" s="1"/>
  <c r="W118" i="13" s="1"/>
  <c r="X106" i="13" l="1"/>
  <c r="X116" i="13" s="1"/>
  <c r="W116" i="13"/>
  <c r="K87" i="13"/>
  <c r="Q69" i="15"/>
  <c r="P69" i="15"/>
  <c r="N69" i="15"/>
  <c r="M69" i="15"/>
  <c r="J69" i="15"/>
  <c r="H69" i="15"/>
  <c r="G69" i="15"/>
  <c r="I69" i="15" s="1"/>
  <c r="F69" i="15"/>
  <c r="E69" i="15"/>
  <c r="D69" i="15"/>
  <c r="I68" i="15"/>
  <c r="R67" i="15"/>
  <c r="O67" i="15"/>
  <c r="I67" i="15"/>
  <c r="Q65" i="15"/>
  <c r="P65" i="15"/>
  <c r="N65" i="15"/>
  <c r="M65" i="15"/>
  <c r="K65" i="15"/>
  <c r="J65" i="15"/>
  <c r="H65" i="15"/>
  <c r="G65" i="15"/>
  <c r="E65" i="15"/>
  <c r="D65" i="15"/>
  <c r="R64" i="15"/>
  <c r="I64" i="15"/>
  <c r="F64" i="15"/>
  <c r="S64" i="15" s="1"/>
  <c r="R63" i="15"/>
  <c r="O63" i="15"/>
  <c r="O65" i="15" s="1"/>
  <c r="L63" i="15"/>
  <c r="L65" i="15" s="1"/>
  <c r="I63" i="15"/>
  <c r="I65" i="15" s="1"/>
  <c r="F63" i="15"/>
  <c r="Q61" i="15"/>
  <c r="P61" i="15"/>
  <c r="N61" i="15"/>
  <c r="M61" i="15"/>
  <c r="K61" i="15"/>
  <c r="J61" i="15"/>
  <c r="H61" i="15"/>
  <c r="G61" i="15"/>
  <c r="E61" i="15"/>
  <c r="D61" i="15"/>
  <c r="R60" i="15"/>
  <c r="I60" i="15"/>
  <c r="F60" i="15"/>
  <c r="S60" i="15" s="1"/>
  <c r="R59" i="15"/>
  <c r="O59" i="15"/>
  <c r="O61" i="15" s="1"/>
  <c r="L59" i="15"/>
  <c r="L61" i="15" s="1"/>
  <c r="I59" i="15"/>
  <c r="I61" i="15" s="1"/>
  <c r="F59" i="15"/>
  <c r="Q57" i="15"/>
  <c r="P57" i="15"/>
  <c r="N57" i="15"/>
  <c r="M57" i="15"/>
  <c r="K57" i="15"/>
  <c r="J57" i="15"/>
  <c r="H57" i="15"/>
  <c r="G57" i="15"/>
  <c r="E57" i="15"/>
  <c r="D57" i="15"/>
  <c r="R56" i="15"/>
  <c r="I56" i="15"/>
  <c r="F56" i="15"/>
  <c r="S56" i="15" s="1"/>
  <c r="R55" i="15"/>
  <c r="O55" i="15"/>
  <c r="O57" i="15" s="1"/>
  <c r="L55" i="15"/>
  <c r="L57" i="15" s="1"/>
  <c r="I55" i="15"/>
  <c r="I57" i="15" s="1"/>
  <c r="F55" i="15"/>
  <c r="Q53" i="15"/>
  <c r="P53" i="15"/>
  <c r="N53" i="15"/>
  <c r="M53" i="15"/>
  <c r="L53" i="15"/>
  <c r="K53" i="15"/>
  <c r="J53" i="15"/>
  <c r="H53" i="15"/>
  <c r="G53" i="15"/>
  <c r="E53" i="15"/>
  <c r="D53" i="15"/>
  <c r="R52" i="15"/>
  <c r="I52" i="15"/>
  <c r="I53" i="15" s="1"/>
  <c r="F52" i="15"/>
  <c r="R51" i="15"/>
  <c r="O51" i="15"/>
  <c r="O53" i="15" s="1"/>
  <c r="F51" i="15"/>
  <c r="Q49" i="15"/>
  <c r="P49" i="15"/>
  <c r="N49" i="15"/>
  <c r="M49" i="15"/>
  <c r="K49" i="15"/>
  <c r="J49" i="15"/>
  <c r="H49" i="15"/>
  <c r="G49" i="15"/>
  <c r="E49" i="15"/>
  <c r="D49" i="15"/>
  <c r="R48" i="15"/>
  <c r="I48" i="15"/>
  <c r="F48" i="15"/>
  <c r="R47" i="15"/>
  <c r="O47" i="15"/>
  <c r="O49" i="15" s="1"/>
  <c r="L47" i="15"/>
  <c r="L49" i="15" s="1"/>
  <c r="I47" i="15"/>
  <c r="I49" i="15" s="1"/>
  <c r="F47" i="15"/>
  <c r="Q45" i="15"/>
  <c r="P45" i="15"/>
  <c r="O45" i="15"/>
  <c r="N45" i="15"/>
  <c r="M45" i="15"/>
  <c r="K45" i="15"/>
  <c r="J45" i="15"/>
  <c r="H45" i="15"/>
  <c r="G45" i="15"/>
  <c r="E45" i="15"/>
  <c r="D45" i="15"/>
  <c r="R44" i="15"/>
  <c r="I44" i="15"/>
  <c r="F44" i="15"/>
  <c r="R43" i="15"/>
  <c r="R45" i="15" s="1"/>
  <c r="L43" i="15"/>
  <c r="L45" i="15" s="1"/>
  <c r="I43" i="15"/>
  <c r="F43" i="15"/>
  <c r="Q41" i="15"/>
  <c r="P41" i="15"/>
  <c r="O41" i="15"/>
  <c r="N41" i="15"/>
  <c r="M41" i="15"/>
  <c r="L41" i="15"/>
  <c r="K41" i="15"/>
  <c r="J41" i="15"/>
  <c r="H41" i="15"/>
  <c r="G41" i="15"/>
  <c r="E41" i="15"/>
  <c r="D41" i="15"/>
  <c r="R40" i="15"/>
  <c r="R41" i="15" s="1"/>
  <c r="I40" i="15"/>
  <c r="F40" i="15"/>
  <c r="S40" i="15" s="1"/>
  <c r="R39" i="15"/>
  <c r="I39" i="15"/>
  <c r="I41" i="15" s="1"/>
  <c r="F39" i="15"/>
  <c r="Q37" i="15"/>
  <c r="P37" i="15"/>
  <c r="N37" i="15"/>
  <c r="M37" i="15"/>
  <c r="L37" i="15"/>
  <c r="K37" i="15"/>
  <c r="J37" i="15"/>
  <c r="I37" i="15"/>
  <c r="H37" i="15"/>
  <c r="G37" i="15"/>
  <c r="E37" i="15"/>
  <c r="D37" i="15"/>
  <c r="R36" i="15"/>
  <c r="F36" i="15"/>
  <c r="S36" i="15" s="1"/>
  <c r="R35" i="15"/>
  <c r="R37" i="15" s="1"/>
  <c r="O35" i="15"/>
  <c r="O37" i="15" s="1"/>
  <c r="I35" i="15"/>
  <c r="F35" i="15"/>
  <c r="S35" i="15" s="1"/>
  <c r="S37" i="15" s="1"/>
  <c r="T37" i="15" s="1"/>
  <c r="Q33" i="15"/>
  <c r="P33" i="15"/>
  <c r="N33" i="15"/>
  <c r="M33" i="15"/>
  <c r="K33" i="15"/>
  <c r="J33" i="15"/>
  <c r="H33" i="15"/>
  <c r="G33" i="15"/>
  <c r="E33" i="15"/>
  <c r="D33" i="15"/>
  <c r="R32" i="15"/>
  <c r="I32" i="15"/>
  <c r="F32" i="15"/>
  <c r="S32" i="15" s="1"/>
  <c r="R31" i="15"/>
  <c r="O31" i="15"/>
  <c r="O33" i="15" s="1"/>
  <c r="L31" i="15"/>
  <c r="L33" i="15" s="1"/>
  <c r="I31" i="15"/>
  <c r="I33" i="15" s="1"/>
  <c r="F31" i="15"/>
  <c r="Q29" i="15"/>
  <c r="P29" i="15"/>
  <c r="N29" i="15"/>
  <c r="M29" i="15"/>
  <c r="L29" i="15"/>
  <c r="K29" i="15"/>
  <c r="J29" i="15"/>
  <c r="H29" i="15"/>
  <c r="G29" i="15"/>
  <c r="E29" i="15"/>
  <c r="D29" i="15"/>
  <c r="R28" i="15"/>
  <c r="O28" i="15"/>
  <c r="O29" i="15" s="1"/>
  <c r="I28" i="15"/>
  <c r="F28" i="15"/>
  <c r="S28" i="15" s="1"/>
  <c r="R27" i="15"/>
  <c r="R29" i="15" s="1"/>
  <c r="I27" i="15"/>
  <c r="I29" i="15" s="1"/>
  <c r="F27" i="15"/>
  <c r="Q25" i="15"/>
  <c r="P25" i="15"/>
  <c r="O25" i="15"/>
  <c r="N25" i="15"/>
  <c r="M25" i="15"/>
  <c r="K25" i="15"/>
  <c r="J25" i="15"/>
  <c r="H25" i="15"/>
  <c r="G25" i="15"/>
  <c r="E25" i="15"/>
  <c r="D25" i="15"/>
  <c r="R24" i="15"/>
  <c r="I24" i="15"/>
  <c r="F24" i="15"/>
  <c r="S24" i="15" s="1"/>
  <c r="R23" i="15"/>
  <c r="R25" i="15" s="1"/>
  <c r="L23" i="15"/>
  <c r="L25" i="15" s="1"/>
  <c r="I23" i="15"/>
  <c r="I25" i="15" s="1"/>
  <c r="F23" i="15"/>
  <c r="Q21" i="15"/>
  <c r="P21" i="15"/>
  <c r="N21" i="15"/>
  <c r="M21" i="15"/>
  <c r="K21" i="15"/>
  <c r="J21" i="15"/>
  <c r="I21" i="15"/>
  <c r="H21" i="15"/>
  <c r="G21" i="15"/>
  <c r="E21" i="15"/>
  <c r="D21" i="15"/>
  <c r="R20" i="15"/>
  <c r="R21" i="15" s="1"/>
  <c r="I20" i="15"/>
  <c r="S20" i="15" s="1"/>
  <c r="F20" i="15"/>
  <c r="R19" i="15"/>
  <c r="O19" i="15"/>
  <c r="O21" i="15" s="1"/>
  <c r="L19" i="15"/>
  <c r="L21" i="15" s="1"/>
  <c r="I19" i="15"/>
  <c r="F19" i="15"/>
  <c r="Q17" i="15"/>
  <c r="P17" i="15"/>
  <c r="P70" i="15" s="1"/>
  <c r="N17" i="15"/>
  <c r="M17" i="15"/>
  <c r="L17" i="15"/>
  <c r="K17" i="15"/>
  <c r="K70" i="15" s="1"/>
  <c r="J17" i="15"/>
  <c r="H17" i="15"/>
  <c r="H70" i="15" s="1"/>
  <c r="G17" i="15"/>
  <c r="E17" i="15"/>
  <c r="D17" i="15"/>
  <c r="R16" i="15"/>
  <c r="R17" i="15" s="1"/>
  <c r="I16" i="15"/>
  <c r="F16" i="15"/>
  <c r="R15" i="15"/>
  <c r="O15" i="15"/>
  <c r="O17" i="15" s="1"/>
  <c r="F15" i="15"/>
  <c r="M70" i="15" l="1"/>
  <c r="I45" i="15"/>
  <c r="O70" i="15"/>
  <c r="D70" i="15"/>
  <c r="Q70" i="15"/>
  <c r="S27" i="15"/>
  <c r="S29" i="15" s="1"/>
  <c r="S31" i="15"/>
  <c r="R33" i="15"/>
  <c r="S39" i="15"/>
  <c r="S43" i="15"/>
  <c r="S45" i="15" s="1"/>
  <c r="T45" i="15" s="1"/>
  <c r="F49" i="15"/>
  <c r="R49" i="15"/>
  <c r="S48" i="15"/>
  <c r="S52" i="15"/>
  <c r="R53" i="15"/>
  <c r="S55" i="15"/>
  <c r="S57" i="15" s="1"/>
  <c r="T57" i="15" s="1"/>
  <c r="R57" i="15"/>
  <c r="S63" i="15"/>
  <c r="S65" i="15" s="1"/>
  <c r="T65" i="15" s="1"/>
  <c r="R65" i="15"/>
  <c r="R69" i="15"/>
  <c r="S15" i="15"/>
  <c r="S16" i="15"/>
  <c r="F17" i="15"/>
  <c r="S19" i="15"/>
  <c r="S21" i="15" s="1"/>
  <c r="T21" i="15" s="1"/>
  <c r="S44" i="15"/>
  <c r="S51" i="15"/>
  <c r="F57" i="15"/>
  <c r="F65" i="15"/>
  <c r="S69" i="15"/>
  <c r="T69" i="15" s="1"/>
  <c r="E70" i="15"/>
  <c r="G70" i="15"/>
  <c r="J70" i="15"/>
  <c r="L70" i="15"/>
  <c r="N70" i="15"/>
  <c r="S23" i="15"/>
  <c r="S25" i="15" s="1"/>
  <c r="T25" i="15" s="1"/>
  <c r="F25" i="15"/>
  <c r="F33" i="15"/>
  <c r="S33" i="15" s="1"/>
  <c r="T33" i="15" s="1"/>
  <c r="S41" i="15"/>
  <c r="T41" i="15" s="1"/>
  <c r="F41" i="15"/>
  <c r="S47" i="15"/>
  <c r="S49" i="15" s="1"/>
  <c r="T49" i="15" s="1"/>
  <c r="F53" i="15"/>
  <c r="F61" i="15"/>
  <c r="S59" i="15"/>
  <c r="S61" i="15" s="1"/>
  <c r="T61" i="15" s="1"/>
  <c r="R61" i="15"/>
  <c r="M130" i="15"/>
  <c r="I17" i="15"/>
  <c r="I70" i="15" s="1"/>
  <c r="F21" i="15"/>
  <c r="F29" i="15"/>
  <c r="F37" i="15"/>
  <c r="F45" i="15"/>
  <c r="M129" i="13"/>
  <c r="C129" i="13"/>
  <c r="G118" i="13"/>
  <c r="G89" i="13"/>
  <c r="F104" i="13"/>
  <c r="L104" i="13" s="1"/>
  <c r="F88" i="13"/>
  <c r="G87" i="13"/>
  <c r="B95" i="13"/>
  <c r="F90" i="13"/>
  <c r="G90" i="13"/>
  <c r="U29" i="15" l="1"/>
  <c r="T29" i="15"/>
  <c r="F102" i="13"/>
  <c r="C96" i="13"/>
  <c r="C98" i="13" s="1"/>
  <c r="R70" i="15"/>
  <c r="S53" i="15"/>
  <c r="T53" i="15" s="1"/>
  <c r="F70" i="15"/>
  <c r="S17" i="15"/>
  <c r="T17" i="15" s="1"/>
  <c r="F15" i="13"/>
  <c r="S70" i="15" l="1"/>
  <c r="T70" i="15" s="1"/>
  <c r="L47" i="13" l="1"/>
  <c r="J69" i="13" l="1"/>
  <c r="Z33" i="13" l="1"/>
  <c r="F51" i="13"/>
  <c r="K104" i="13" l="1"/>
  <c r="I60" i="13"/>
  <c r="F60" i="13"/>
  <c r="O59" i="13"/>
  <c r="L59" i="13"/>
  <c r="I59" i="13"/>
  <c r="K89" i="13"/>
  <c r="E105" i="13"/>
  <c r="F105" i="13"/>
  <c r="L105" i="13" s="1"/>
  <c r="P126" i="13"/>
  <c r="I126" i="13"/>
  <c r="F126" i="13"/>
  <c r="N124" i="13"/>
  <c r="M122" i="13"/>
  <c r="M130" i="13"/>
  <c r="C130" i="13"/>
  <c r="V98" i="13"/>
  <c r="V97" i="13"/>
  <c r="V96" i="13"/>
  <c r="K94" i="13"/>
  <c r="K93" i="13"/>
  <c r="G88" i="13"/>
  <c r="W93" i="13"/>
  <c r="Q69" i="13"/>
  <c r="P69" i="13"/>
  <c r="N69" i="13"/>
  <c r="Z69" i="13" s="1"/>
  <c r="M69" i="13"/>
  <c r="H69" i="13"/>
  <c r="G69" i="13"/>
  <c r="E69" i="13"/>
  <c r="D69" i="13"/>
  <c r="U69" i="13" s="1"/>
  <c r="V68" i="13"/>
  <c r="U68" i="13"/>
  <c r="I68" i="13"/>
  <c r="F69" i="13"/>
  <c r="V67" i="13"/>
  <c r="U67" i="13"/>
  <c r="R67" i="13"/>
  <c r="O67" i="13"/>
  <c r="I67" i="13"/>
  <c r="V66" i="13"/>
  <c r="U66" i="13"/>
  <c r="Q65" i="13"/>
  <c r="P65" i="13"/>
  <c r="N65" i="13"/>
  <c r="M65" i="13"/>
  <c r="K65" i="13"/>
  <c r="J65" i="13"/>
  <c r="H65" i="13"/>
  <c r="G65" i="13"/>
  <c r="E65" i="13"/>
  <c r="X65" i="13" s="1"/>
  <c r="D65" i="13"/>
  <c r="V64" i="13"/>
  <c r="U64" i="13"/>
  <c r="R64" i="13"/>
  <c r="I64" i="13"/>
  <c r="F64" i="13"/>
  <c r="V63" i="13"/>
  <c r="U63" i="13"/>
  <c r="R63" i="13"/>
  <c r="R65" i="13" s="1"/>
  <c r="O63" i="13"/>
  <c r="O65" i="13" s="1"/>
  <c r="L63" i="13"/>
  <c r="L65" i="13" s="1"/>
  <c r="I63" i="13"/>
  <c r="F63" i="13"/>
  <c r="V62" i="13"/>
  <c r="U62" i="13"/>
  <c r="Q61" i="13"/>
  <c r="P61" i="13"/>
  <c r="N61" i="13"/>
  <c r="Z61" i="13" s="1"/>
  <c r="M61" i="13"/>
  <c r="K61" i="13"/>
  <c r="J61" i="13"/>
  <c r="H61" i="13"/>
  <c r="G61" i="13"/>
  <c r="E61" i="13"/>
  <c r="V61" i="13" s="1"/>
  <c r="X61" i="13" s="1"/>
  <c r="D61" i="13"/>
  <c r="V60" i="13"/>
  <c r="U60" i="13"/>
  <c r="R60" i="13"/>
  <c r="F61" i="13"/>
  <c r="V59" i="13"/>
  <c r="U59" i="13"/>
  <c r="R59" i="13"/>
  <c r="O61" i="13"/>
  <c r="L61" i="13"/>
  <c r="I61" i="13"/>
  <c r="V58" i="13"/>
  <c r="U58" i="13"/>
  <c r="Q57" i="13"/>
  <c r="P57" i="13"/>
  <c r="N57" i="13"/>
  <c r="M57" i="13"/>
  <c r="K57" i="13"/>
  <c r="J57" i="13"/>
  <c r="H57" i="13"/>
  <c r="G57" i="13"/>
  <c r="E57" i="13"/>
  <c r="X57" i="13" s="1"/>
  <c r="D57" i="13"/>
  <c r="V56" i="13"/>
  <c r="U56" i="13"/>
  <c r="R56" i="13"/>
  <c r="I56" i="13"/>
  <c r="F56" i="13"/>
  <c r="V55" i="13"/>
  <c r="U55" i="13"/>
  <c r="R55" i="13"/>
  <c r="R57" i="13" s="1"/>
  <c r="O55" i="13"/>
  <c r="O57" i="13" s="1"/>
  <c r="L55" i="13"/>
  <c r="L57" i="13" s="1"/>
  <c r="I55" i="13"/>
  <c r="F55" i="13"/>
  <c r="V54" i="13"/>
  <c r="U54" i="13"/>
  <c r="P53" i="13"/>
  <c r="N53" i="13"/>
  <c r="M53" i="13"/>
  <c r="L53" i="13"/>
  <c r="K53" i="13"/>
  <c r="J53" i="13"/>
  <c r="H53" i="13"/>
  <c r="G53" i="13"/>
  <c r="E53" i="13"/>
  <c r="X53" i="13" s="1"/>
  <c r="D53" i="13"/>
  <c r="U53" i="13" s="1"/>
  <c r="V52" i="13"/>
  <c r="U52" i="13"/>
  <c r="R52" i="13"/>
  <c r="I52" i="13"/>
  <c r="I53" i="13" s="1"/>
  <c r="F52" i="13"/>
  <c r="Q53" i="13"/>
  <c r="Z51" i="13"/>
  <c r="O51" i="13"/>
  <c r="O53" i="13" s="1"/>
  <c r="V50" i="13"/>
  <c r="U50" i="13"/>
  <c r="N49" i="13"/>
  <c r="M49" i="13"/>
  <c r="L49" i="13"/>
  <c r="K49" i="13"/>
  <c r="J49" i="13"/>
  <c r="H49" i="13"/>
  <c r="G49" i="13"/>
  <c r="E49" i="13"/>
  <c r="D49" i="13"/>
  <c r="V48" i="13"/>
  <c r="U48" i="13"/>
  <c r="R48" i="13"/>
  <c r="I48" i="13"/>
  <c r="F48" i="13"/>
  <c r="Q49" i="13"/>
  <c r="Z48" i="13" s="1"/>
  <c r="P49" i="13"/>
  <c r="O47" i="13"/>
  <c r="O49" i="13" s="1"/>
  <c r="I47" i="13"/>
  <c r="F47" i="13"/>
  <c r="V46" i="13"/>
  <c r="U46" i="13"/>
  <c r="Q45" i="13"/>
  <c r="Z45" i="13" s="1"/>
  <c r="P45" i="13"/>
  <c r="O45" i="13"/>
  <c r="N45" i="13"/>
  <c r="M45" i="13"/>
  <c r="K45" i="13"/>
  <c r="J45" i="13"/>
  <c r="H45" i="13"/>
  <c r="G45" i="13"/>
  <c r="E45" i="13"/>
  <c r="X45" i="13" s="1"/>
  <c r="D45" i="13"/>
  <c r="V44" i="13"/>
  <c r="U44" i="13"/>
  <c r="R44" i="13"/>
  <c r="I44" i="13"/>
  <c r="F44" i="13"/>
  <c r="V43" i="13"/>
  <c r="U43" i="13"/>
  <c r="R43" i="13"/>
  <c r="L43" i="13"/>
  <c r="L45" i="13" s="1"/>
  <c r="I43" i="13"/>
  <c r="I45" i="13" s="1"/>
  <c r="F43" i="13"/>
  <c r="V42" i="13"/>
  <c r="U42" i="13"/>
  <c r="Q41" i="13"/>
  <c r="P41" i="13"/>
  <c r="O41" i="13"/>
  <c r="N41" i="13"/>
  <c r="M41" i="13"/>
  <c r="L41" i="13"/>
  <c r="K41" i="13"/>
  <c r="J41" i="13"/>
  <c r="H41" i="13"/>
  <c r="G41" i="13"/>
  <c r="E41" i="13"/>
  <c r="X40" i="13" s="1"/>
  <c r="D41" i="13"/>
  <c r="Z40" i="13"/>
  <c r="V40" i="13"/>
  <c r="U40" i="13"/>
  <c r="R40" i="13"/>
  <c r="I40" i="13"/>
  <c r="F40" i="13"/>
  <c r="V39" i="13"/>
  <c r="U39" i="13"/>
  <c r="R39" i="13"/>
  <c r="I39" i="13"/>
  <c r="F39" i="13"/>
  <c r="V38" i="13"/>
  <c r="U38" i="13"/>
  <c r="Q37" i="13"/>
  <c r="Z37" i="13" s="1"/>
  <c r="P37" i="13"/>
  <c r="N37" i="13"/>
  <c r="M37" i="13"/>
  <c r="L37" i="13"/>
  <c r="K37" i="13"/>
  <c r="J37" i="13"/>
  <c r="H37" i="13"/>
  <c r="G37" i="13"/>
  <c r="E37" i="13"/>
  <c r="D37" i="13"/>
  <c r="U37" i="13" s="1"/>
  <c r="V36" i="13"/>
  <c r="U36" i="13"/>
  <c r="R36" i="13"/>
  <c r="F36" i="13"/>
  <c r="Y35" i="13"/>
  <c r="V35" i="13"/>
  <c r="U35" i="13"/>
  <c r="R35" i="13"/>
  <c r="O35" i="13"/>
  <c r="O37" i="13" s="1"/>
  <c r="I35" i="13"/>
  <c r="I37" i="13" s="1"/>
  <c r="F35" i="13"/>
  <c r="V34" i="13"/>
  <c r="U34" i="13"/>
  <c r="Q33" i="13"/>
  <c r="P33" i="13"/>
  <c r="N33" i="13"/>
  <c r="M33" i="13"/>
  <c r="K33" i="13"/>
  <c r="J33" i="13"/>
  <c r="H33" i="13"/>
  <c r="G33" i="13"/>
  <c r="E33" i="13"/>
  <c r="D33" i="13"/>
  <c r="V32" i="13"/>
  <c r="U32" i="13"/>
  <c r="R32" i="13"/>
  <c r="I32" i="13"/>
  <c r="F32" i="13"/>
  <c r="S32" i="13" s="1"/>
  <c r="V31" i="13"/>
  <c r="U31" i="13"/>
  <c r="R31" i="13"/>
  <c r="O31" i="13"/>
  <c r="O33" i="13" s="1"/>
  <c r="L31" i="13"/>
  <c r="L33" i="13" s="1"/>
  <c r="I31" i="13"/>
  <c r="I33" i="13" s="1"/>
  <c r="F31" i="13"/>
  <c r="V30" i="13"/>
  <c r="U30" i="13"/>
  <c r="Q29" i="13"/>
  <c r="P29" i="13"/>
  <c r="N29" i="13"/>
  <c r="Z29" i="13" s="1"/>
  <c r="M29" i="13"/>
  <c r="K29" i="13"/>
  <c r="J29" i="13"/>
  <c r="H29" i="13"/>
  <c r="G29" i="13"/>
  <c r="E29" i="13"/>
  <c r="X29" i="13" s="1"/>
  <c r="D29" i="13"/>
  <c r="V28" i="13"/>
  <c r="U28" i="13"/>
  <c r="R28" i="13"/>
  <c r="O28" i="13"/>
  <c r="G119" i="13" s="1"/>
  <c r="H119" i="13" s="1"/>
  <c r="I28" i="13"/>
  <c r="F28" i="13"/>
  <c r="V27" i="13"/>
  <c r="U27" i="13"/>
  <c r="R27" i="13"/>
  <c r="R29" i="13" s="1"/>
  <c r="L29" i="13"/>
  <c r="I27" i="13"/>
  <c r="I29" i="13" s="1"/>
  <c r="F27" i="13"/>
  <c r="V26" i="13"/>
  <c r="U26" i="13"/>
  <c r="Q25" i="13"/>
  <c r="P25" i="13"/>
  <c r="O25" i="13"/>
  <c r="N25" i="13"/>
  <c r="M25" i="13"/>
  <c r="K25" i="13"/>
  <c r="J25" i="13"/>
  <c r="H25" i="13"/>
  <c r="G25" i="13"/>
  <c r="E25" i="13"/>
  <c r="D25" i="13"/>
  <c r="X24" i="13"/>
  <c r="V24" i="13"/>
  <c r="U24" i="13"/>
  <c r="R24" i="13"/>
  <c r="I24" i="13"/>
  <c r="F24" i="13"/>
  <c r="V23" i="13"/>
  <c r="U23" i="13"/>
  <c r="R23" i="13"/>
  <c r="R25" i="13" s="1"/>
  <c r="L23" i="13"/>
  <c r="L25" i="13" s="1"/>
  <c r="I23" i="13"/>
  <c r="I25" i="13" s="1"/>
  <c r="F23" i="13"/>
  <c r="V22" i="13"/>
  <c r="U22" i="13"/>
  <c r="Q21" i="13"/>
  <c r="P21" i="13"/>
  <c r="N21" i="13"/>
  <c r="M21" i="13"/>
  <c r="K21" i="13"/>
  <c r="J21" i="13"/>
  <c r="H21" i="13"/>
  <c r="G21" i="13"/>
  <c r="E21" i="13"/>
  <c r="X21" i="13" s="1"/>
  <c r="D21" i="13"/>
  <c r="U21" i="13" s="1"/>
  <c r="V20" i="13"/>
  <c r="U20" i="13"/>
  <c r="R20" i="13"/>
  <c r="R21" i="13" s="1"/>
  <c r="I20" i="13"/>
  <c r="F20" i="13"/>
  <c r="Y19" i="13"/>
  <c r="V19" i="13"/>
  <c r="U19" i="13"/>
  <c r="R19" i="13"/>
  <c r="O19" i="13"/>
  <c r="O21" i="13" s="1"/>
  <c r="L19" i="13"/>
  <c r="L21" i="13" s="1"/>
  <c r="I19" i="13"/>
  <c r="F19" i="13"/>
  <c r="G102" i="13" s="1"/>
  <c r="H102" i="13" s="1"/>
  <c r="V18" i="13"/>
  <c r="U18" i="13"/>
  <c r="Q17" i="13"/>
  <c r="P17" i="13"/>
  <c r="N17" i="13"/>
  <c r="M17" i="13"/>
  <c r="M70" i="13" s="1"/>
  <c r="L17" i="13"/>
  <c r="L70" i="13" s="1"/>
  <c r="K17" i="13"/>
  <c r="K70" i="13" s="1"/>
  <c r="J17" i="13"/>
  <c r="H17" i="13"/>
  <c r="G17" i="13"/>
  <c r="E17" i="13"/>
  <c r="D17" i="13"/>
  <c r="V16" i="13"/>
  <c r="U16" i="13"/>
  <c r="R16" i="13"/>
  <c r="R17" i="13" s="1"/>
  <c r="I16" i="13"/>
  <c r="G117" i="13" s="1"/>
  <c r="F16" i="13"/>
  <c r="G116" i="13" s="1"/>
  <c r="H116" i="13" s="1"/>
  <c r="Y15" i="13"/>
  <c r="V15" i="13"/>
  <c r="U15" i="13"/>
  <c r="R15" i="13"/>
  <c r="O15" i="13"/>
  <c r="O17" i="13" s="1"/>
  <c r="V37" i="13" l="1"/>
  <c r="X37" i="13"/>
  <c r="U65" i="13"/>
  <c r="V69" i="13"/>
  <c r="X68" i="13" s="1"/>
  <c r="X69" i="13"/>
  <c r="F103" i="13"/>
  <c r="F106" i="13" s="1"/>
  <c r="D96" i="13"/>
  <c r="D98" i="13" s="1"/>
  <c r="E96" i="13"/>
  <c r="K105" i="13"/>
  <c r="G105" i="13"/>
  <c r="F17" i="13"/>
  <c r="V33" i="13"/>
  <c r="X34" i="13" s="1"/>
  <c r="X33" i="13"/>
  <c r="X38" i="13"/>
  <c r="G104" i="13"/>
  <c r="N106" i="13"/>
  <c r="N102" i="13"/>
  <c r="N104" i="13"/>
  <c r="Z21" i="13"/>
  <c r="U29" i="13"/>
  <c r="J70" i="13"/>
  <c r="L71" i="13" s="1"/>
  <c r="K71" i="13" s="1"/>
  <c r="E70" i="13"/>
  <c r="D70" i="13"/>
  <c r="P70" i="13"/>
  <c r="F57" i="13"/>
  <c r="S56" i="13"/>
  <c r="U57" i="13"/>
  <c r="F65" i="13"/>
  <c r="S64" i="13"/>
  <c r="V25" i="13"/>
  <c r="Z24" i="13"/>
  <c r="U33" i="13"/>
  <c r="W34" i="13" s="1"/>
  <c r="S35" i="13"/>
  <c r="S39" i="13"/>
  <c r="U41" i="13"/>
  <c r="E126" i="13"/>
  <c r="I129" i="13" s="1"/>
  <c r="X60" i="13"/>
  <c r="G120" i="13"/>
  <c r="H120" i="13" s="1"/>
  <c r="S20" i="13"/>
  <c r="S28" i="13"/>
  <c r="F33" i="13"/>
  <c r="R33" i="13"/>
  <c r="R41" i="13"/>
  <c r="V45" i="13"/>
  <c r="X46" i="13" s="1"/>
  <c r="S43" i="13"/>
  <c r="H70" i="13"/>
  <c r="R37" i="13"/>
  <c r="S36" i="13"/>
  <c r="I41" i="13"/>
  <c r="S40" i="13"/>
  <c r="S41" i="13" s="1"/>
  <c r="V41" i="13"/>
  <c r="X41" i="13" s="1"/>
  <c r="R45" i="13"/>
  <c r="U45" i="13"/>
  <c r="S52" i="13"/>
  <c r="I57" i="13"/>
  <c r="R61" i="13"/>
  <c r="I65" i="13"/>
  <c r="I69" i="13"/>
  <c r="R69" i="13"/>
  <c r="K88" i="13"/>
  <c r="K91" i="13"/>
  <c r="N70" i="13"/>
  <c r="Z65" i="13"/>
  <c r="U61" i="13"/>
  <c r="W62" i="13" s="1"/>
  <c r="S60" i="13"/>
  <c r="Z57" i="13"/>
  <c r="X48" i="13"/>
  <c r="I49" i="13"/>
  <c r="F49" i="13"/>
  <c r="S44" i="13"/>
  <c r="G70" i="13"/>
  <c r="S27" i="13"/>
  <c r="S29" i="13" s="1"/>
  <c r="W29" i="13" s="1"/>
  <c r="U25" i="13"/>
  <c r="W26" i="13" s="1"/>
  <c r="H117" i="13"/>
  <c r="S23" i="13"/>
  <c r="S24" i="13"/>
  <c r="L103" i="13"/>
  <c r="Q70" i="13"/>
  <c r="S19" i="13"/>
  <c r="S21" i="13" s="1"/>
  <c r="Z16" i="13"/>
  <c r="M131" i="13"/>
  <c r="X16" i="13"/>
  <c r="X75" i="13" s="1"/>
  <c r="S33" i="13"/>
  <c r="W33" i="13" s="1"/>
  <c r="S15" i="13"/>
  <c r="T15" i="13" s="1"/>
  <c r="S16" i="13"/>
  <c r="T16" i="13" s="1"/>
  <c r="I17" i="13"/>
  <c r="V17" i="13"/>
  <c r="I21" i="13"/>
  <c r="V21" i="13"/>
  <c r="X22" i="13" s="1"/>
  <c r="F29" i="13"/>
  <c r="S31" i="13"/>
  <c r="F37" i="13"/>
  <c r="U49" i="13"/>
  <c r="S69" i="13"/>
  <c r="U17" i="13"/>
  <c r="W18" i="13" s="1"/>
  <c r="F21" i="13"/>
  <c r="F25" i="13"/>
  <c r="O29" i="13"/>
  <c r="O70" i="13" s="1"/>
  <c r="V29" i="13"/>
  <c r="X30" i="13" s="1"/>
  <c r="F41" i="13"/>
  <c r="V47" i="13"/>
  <c r="S48" i="13"/>
  <c r="Z53" i="13"/>
  <c r="V49" i="13"/>
  <c r="X49" i="13" s="1"/>
  <c r="V51" i="13"/>
  <c r="F53" i="13"/>
  <c r="S55" i="13"/>
  <c r="S57" i="13" s="1"/>
  <c r="V57" i="13"/>
  <c r="X58" i="13" s="1"/>
  <c r="S59" i="13"/>
  <c r="S61" i="13" s="1"/>
  <c r="S63" i="13"/>
  <c r="V65" i="13"/>
  <c r="X66" i="13" s="1"/>
  <c r="F45" i="13"/>
  <c r="R47" i="13"/>
  <c r="R49" i="13" s="1"/>
  <c r="U47" i="13"/>
  <c r="R51" i="13"/>
  <c r="R53" i="13" s="1"/>
  <c r="U51" i="13"/>
  <c r="V53" i="13"/>
  <c r="X54" i="13" s="1"/>
  <c r="E103" i="13"/>
  <c r="E106" i="13" s="1"/>
  <c r="N108" i="13"/>
  <c r="N103" i="13"/>
  <c r="F120" i="13"/>
  <c r="M119" i="13"/>
  <c r="M125" i="13" s="1"/>
  <c r="Z75" i="13" l="1"/>
  <c r="G91" i="13"/>
  <c r="F77" i="13"/>
  <c r="O73" i="13"/>
  <c r="F91" i="13"/>
  <c r="N73" i="13"/>
  <c r="V87" i="13"/>
  <c r="V88" i="13" s="1"/>
  <c r="F74" i="13"/>
  <c r="W22" i="13"/>
  <c r="B94" i="13"/>
  <c r="W66" i="13"/>
  <c r="W50" i="13"/>
  <c r="W42" i="13"/>
  <c r="W58" i="13"/>
  <c r="F71" i="13"/>
  <c r="U87" i="13"/>
  <c r="F70" i="13"/>
  <c r="W54" i="13"/>
  <c r="S37" i="13"/>
  <c r="X25" i="13"/>
  <c r="U72" i="13"/>
  <c r="Y29" i="13"/>
  <c r="Y88" i="13"/>
  <c r="U70" i="13"/>
  <c r="S65" i="13"/>
  <c r="W46" i="13"/>
  <c r="S45" i="13"/>
  <c r="I71" i="13"/>
  <c r="V72" i="13"/>
  <c r="F73" i="13"/>
  <c r="B84" i="13" s="1"/>
  <c r="X18" i="13"/>
  <c r="P73" i="13"/>
  <c r="O71" i="13"/>
  <c r="R70" i="13"/>
  <c r="V70" i="13"/>
  <c r="S25" i="13"/>
  <c r="Y21" i="13"/>
  <c r="W21" i="13"/>
  <c r="S17" i="13"/>
  <c r="M126" i="13"/>
  <c r="O126" i="13"/>
  <c r="L102" i="13"/>
  <c r="H104" i="13"/>
  <c r="Y65" i="13"/>
  <c r="W65" i="13"/>
  <c r="S51" i="13"/>
  <c r="S53" i="13" s="1"/>
  <c r="S47" i="13"/>
  <c r="S49" i="13" s="1"/>
  <c r="Y45" i="13"/>
  <c r="W45" i="13"/>
  <c r="Y37" i="13"/>
  <c r="W37" i="13"/>
  <c r="K103" i="13"/>
  <c r="G103" i="13"/>
  <c r="Y61" i="13"/>
  <c r="W61" i="13"/>
  <c r="Y57" i="13"/>
  <c r="W57" i="13"/>
  <c r="Y69" i="13"/>
  <c r="W69" i="13"/>
  <c r="I70" i="13"/>
  <c r="H71" i="13" s="1"/>
  <c r="Y41" i="13"/>
  <c r="W41" i="13"/>
  <c r="Y33" i="13"/>
  <c r="T17" i="13" l="1"/>
  <c r="Y17" i="13"/>
  <c r="W17" i="13"/>
  <c r="S70" i="13"/>
  <c r="U73" i="13"/>
  <c r="V94" i="13"/>
  <c r="X87" i="13"/>
  <c r="X89" i="13" s="1"/>
  <c r="U88" i="13"/>
  <c r="B81" i="13"/>
  <c r="E97" i="13"/>
  <c r="G94" i="13"/>
  <c r="L73" i="13"/>
  <c r="E71" i="13"/>
  <c r="R74" i="13" s="1"/>
  <c r="S71" i="13"/>
  <c r="S73" i="13" s="1"/>
  <c r="E107" i="13"/>
  <c r="E98" i="13"/>
  <c r="F98" i="13" s="1"/>
  <c r="F94" i="13"/>
  <c r="E81" i="13"/>
  <c r="F81" i="13"/>
  <c r="E80" i="13"/>
  <c r="B82" i="13"/>
  <c r="C81" i="13"/>
  <c r="H103" i="13"/>
  <c r="G108" i="13"/>
  <c r="J129" i="13"/>
  <c r="F128" i="13"/>
  <c r="H90" i="13"/>
  <c r="H105" i="13" s="1"/>
  <c r="H88" i="13"/>
  <c r="H91" i="13"/>
  <c r="F107" i="13"/>
  <c r="F108" i="13" s="1"/>
  <c r="F121" i="13" s="1"/>
  <c r="H89" i="13"/>
  <c r="F99" i="13"/>
  <c r="F97" i="13"/>
  <c r="Y25" i="13"/>
  <c r="W25" i="13"/>
  <c r="Y49" i="13"/>
  <c r="W49" i="13"/>
  <c r="Y53" i="13"/>
  <c r="W53" i="13"/>
  <c r="F95" i="13" l="1"/>
  <c r="H97" i="13" s="1"/>
  <c r="J96" i="13"/>
  <c r="I92" i="13"/>
  <c r="I88" i="13"/>
  <c r="I89" i="13"/>
  <c r="I94" i="13"/>
  <c r="I90" i="13"/>
  <c r="I87" i="13"/>
  <c r="E108" i="13"/>
  <c r="E121" i="13" s="1"/>
  <c r="E123" i="13" s="1"/>
  <c r="K106" i="13"/>
  <c r="K108" i="13" s="1"/>
  <c r="E100" i="13"/>
  <c r="D99" i="13"/>
  <c r="W70" i="13"/>
  <c r="I91" i="13"/>
  <c r="L75" i="13"/>
  <c r="M75" i="13"/>
  <c r="H87" i="13"/>
  <c r="H95" i="13" s="1"/>
  <c r="H92" i="13"/>
  <c r="G95" i="13"/>
  <c r="F96" i="13"/>
  <c r="U74" i="13"/>
  <c r="F100" i="13"/>
  <c r="L106" i="13"/>
  <c r="L108" i="13"/>
  <c r="I95" i="13" l="1"/>
  <c r="H94" i="13"/>
  <c r="H108" i="13"/>
  <c r="G121" i="13"/>
  <c r="H121" i="13" s="1"/>
  <c r="D68" i="8"/>
  <c r="F165" i="8" l="1"/>
  <c r="E165" i="8"/>
  <c r="P341" i="8" l="1"/>
  <c r="M193" i="8"/>
  <c r="K288" i="8" l="1"/>
  <c r="M287" i="8"/>
  <c r="Q70" i="10" l="1"/>
  <c r="P70" i="10"/>
  <c r="N70" i="10"/>
  <c r="M70" i="10"/>
  <c r="H70" i="10"/>
  <c r="G70" i="10"/>
  <c r="E70" i="10"/>
  <c r="V69" i="10"/>
  <c r="U69" i="10"/>
  <c r="I69" i="10"/>
  <c r="F69" i="10"/>
  <c r="F70" i="10" s="1"/>
  <c r="V68" i="10"/>
  <c r="R68" i="10"/>
  <c r="O68" i="10"/>
  <c r="I68" i="10"/>
  <c r="D68" i="10"/>
  <c r="D70" i="10" s="1"/>
  <c r="U70" i="10" s="1"/>
  <c r="V67" i="10"/>
  <c r="U67" i="10"/>
  <c r="Q66" i="10"/>
  <c r="P66" i="10"/>
  <c r="N66" i="10"/>
  <c r="M66" i="10"/>
  <c r="K66" i="10"/>
  <c r="J66" i="10"/>
  <c r="H66" i="10"/>
  <c r="G66" i="10"/>
  <c r="E66" i="10"/>
  <c r="V66" i="10" s="1"/>
  <c r="D66" i="10"/>
  <c r="U66" i="10" s="1"/>
  <c r="V65" i="10"/>
  <c r="U65" i="10"/>
  <c r="R65" i="10"/>
  <c r="I65" i="10"/>
  <c r="F65" i="10"/>
  <c r="S65" i="10" s="1"/>
  <c r="V64" i="10"/>
  <c r="U64" i="10"/>
  <c r="R64" i="10"/>
  <c r="R66" i="10" s="1"/>
  <c r="O64" i="10"/>
  <c r="O66" i="10" s="1"/>
  <c r="L64" i="10"/>
  <c r="L66" i="10" s="1"/>
  <c r="I64" i="10"/>
  <c r="I66" i="10" s="1"/>
  <c r="F64" i="10"/>
  <c r="V63" i="10"/>
  <c r="U63" i="10"/>
  <c r="Q62" i="10"/>
  <c r="P62" i="10"/>
  <c r="N62" i="10"/>
  <c r="M62" i="10"/>
  <c r="K62" i="10"/>
  <c r="J62" i="10"/>
  <c r="H62" i="10"/>
  <c r="G62" i="10"/>
  <c r="E62" i="10"/>
  <c r="V62" i="10" s="1"/>
  <c r="V61" i="10"/>
  <c r="U61" i="10"/>
  <c r="R61" i="10"/>
  <c r="I61" i="10"/>
  <c r="S61" i="10" s="1"/>
  <c r="F61" i="10"/>
  <c r="V60" i="10"/>
  <c r="R60" i="10"/>
  <c r="R62" i="10" s="1"/>
  <c r="O60" i="10"/>
  <c r="O62" i="10" s="1"/>
  <c r="L60" i="10"/>
  <c r="L62" i="10" s="1"/>
  <c r="I60" i="10"/>
  <c r="F60" i="10"/>
  <c r="F62" i="10" s="1"/>
  <c r="D60" i="10"/>
  <c r="D62" i="10" s="1"/>
  <c r="U62" i="10" s="1"/>
  <c r="V59" i="10"/>
  <c r="U59" i="10"/>
  <c r="Q58" i="10"/>
  <c r="P58" i="10"/>
  <c r="N58" i="10"/>
  <c r="M58" i="10"/>
  <c r="K58" i="10"/>
  <c r="J58" i="10"/>
  <c r="H58" i="10"/>
  <c r="G58" i="10"/>
  <c r="E58" i="10"/>
  <c r="V58" i="10" s="1"/>
  <c r="D58" i="10"/>
  <c r="U58" i="10" s="1"/>
  <c r="V57" i="10"/>
  <c r="U57" i="10"/>
  <c r="R57" i="10"/>
  <c r="I57" i="10"/>
  <c r="F57" i="10"/>
  <c r="V56" i="10"/>
  <c r="U56" i="10"/>
  <c r="R56" i="10"/>
  <c r="O56" i="10"/>
  <c r="O58" i="10" s="1"/>
  <c r="L56" i="10"/>
  <c r="L58" i="10" s="1"/>
  <c r="I56" i="10"/>
  <c r="I58" i="10" s="1"/>
  <c r="F56" i="10"/>
  <c r="V55" i="10"/>
  <c r="U55" i="10"/>
  <c r="N54" i="10"/>
  <c r="M54" i="10"/>
  <c r="L54" i="10"/>
  <c r="K54" i="10"/>
  <c r="J54" i="10"/>
  <c r="H54" i="10"/>
  <c r="G54" i="10"/>
  <c r="E54" i="10"/>
  <c r="V53" i="10"/>
  <c r="U53" i="10"/>
  <c r="R53" i="10"/>
  <c r="I53" i="10"/>
  <c r="I54" i="10" s="1"/>
  <c r="F53" i="10"/>
  <c r="F54" i="10" s="1"/>
  <c r="Q52" i="10"/>
  <c r="V52" i="10" s="1"/>
  <c r="P52" i="10"/>
  <c r="P54" i="10" s="1"/>
  <c r="O52" i="10"/>
  <c r="D52" i="10"/>
  <c r="V51" i="10"/>
  <c r="U51" i="10"/>
  <c r="N50" i="10"/>
  <c r="M50" i="10"/>
  <c r="L50" i="10"/>
  <c r="K50" i="10"/>
  <c r="J50" i="10"/>
  <c r="H50" i="10"/>
  <c r="G50" i="10"/>
  <c r="E50" i="10"/>
  <c r="D50" i="10"/>
  <c r="V49" i="10"/>
  <c r="U49" i="10"/>
  <c r="R49" i="10"/>
  <c r="I49" i="10"/>
  <c r="F49" i="10"/>
  <c r="Q48" i="10"/>
  <c r="Q50" i="10" s="1"/>
  <c r="P48" i="10"/>
  <c r="O48" i="10"/>
  <c r="O50" i="10" s="1"/>
  <c r="I48" i="10"/>
  <c r="I50" i="10" s="1"/>
  <c r="F48" i="10"/>
  <c r="V47" i="10"/>
  <c r="U47" i="10"/>
  <c r="Q46" i="10"/>
  <c r="P46" i="10"/>
  <c r="O46" i="10"/>
  <c r="N46" i="10"/>
  <c r="M46" i="10"/>
  <c r="K46" i="10"/>
  <c r="J46" i="10"/>
  <c r="H46" i="10"/>
  <c r="G46" i="10"/>
  <c r="E46" i="10"/>
  <c r="V46" i="10" s="1"/>
  <c r="D46" i="10"/>
  <c r="U46" i="10" s="1"/>
  <c r="V45" i="10"/>
  <c r="U45" i="10"/>
  <c r="R45" i="10"/>
  <c r="I45" i="10"/>
  <c r="F45" i="10"/>
  <c r="V44" i="10"/>
  <c r="U44" i="10"/>
  <c r="R44" i="10"/>
  <c r="R46" i="10" s="1"/>
  <c r="L44" i="10"/>
  <c r="L46" i="10" s="1"/>
  <c r="I44" i="10"/>
  <c r="I46" i="10" s="1"/>
  <c r="F44" i="10"/>
  <c r="V43" i="10"/>
  <c r="U43" i="10"/>
  <c r="Q42" i="10"/>
  <c r="P42" i="10"/>
  <c r="O42" i="10"/>
  <c r="N42" i="10"/>
  <c r="M42" i="10"/>
  <c r="L42" i="10"/>
  <c r="K42" i="10"/>
  <c r="J42" i="10"/>
  <c r="H42" i="10"/>
  <c r="G42" i="10"/>
  <c r="E42" i="10"/>
  <c r="V42" i="10" s="1"/>
  <c r="D42" i="10"/>
  <c r="U42" i="10" s="1"/>
  <c r="V41" i="10"/>
  <c r="U41" i="10"/>
  <c r="R41" i="10"/>
  <c r="I41" i="10"/>
  <c r="F41" i="10"/>
  <c r="V40" i="10"/>
  <c r="U40" i="10"/>
  <c r="R40" i="10"/>
  <c r="R42" i="10" s="1"/>
  <c r="I40" i="10"/>
  <c r="I42" i="10" s="1"/>
  <c r="F40" i="10"/>
  <c r="V39" i="10"/>
  <c r="U39" i="10"/>
  <c r="Q38" i="10"/>
  <c r="P38" i="10"/>
  <c r="N38" i="10"/>
  <c r="M38" i="10"/>
  <c r="L38" i="10"/>
  <c r="K38" i="10"/>
  <c r="J38" i="10"/>
  <c r="H38" i="10"/>
  <c r="G38" i="10"/>
  <c r="E38" i="10"/>
  <c r="V38" i="10" s="1"/>
  <c r="D38" i="10"/>
  <c r="U38" i="10" s="1"/>
  <c r="V37" i="10"/>
  <c r="U37" i="10"/>
  <c r="R37" i="10"/>
  <c r="F37" i="10"/>
  <c r="S37" i="10" s="1"/>
  <c r="V36" i="10"/>
  <c r="U36" i="10"/>
  <c r="R36" i="10"/>
  <c r="R38" i="10" s="1"/>
  <c r="O36" i="10"/>
  <c r="O38" i="10" s="1"/>
  <c r="I36" i="10"/>
  <c r="I38" i="10" s="1"/>
  <c r="F36" i="10"/>
  <c r="S36" i="10" s="1"/>
  <c r="S38" i="10" s="1"/>
  <c r="Y38" i="10" s="1"/>
  <c r="V35" i="10"/>
  <c r="U35" i="10"/>
  <c r="Q34" i="10"/>
  <c r="P34" i="10"/>
  <c r="N34" i="10"/>
  <c r="M34" i="10"/>
  <c r="K34" i="10"/>
  <c r="J34" i="10"/>
  <c r="H34" i="10"/>
  <c r="G34" i="10"/>
  <c r="E34" i="10"/>
  <c r="V34" i="10" s="1"/>
  <c r="D34" i="10"/>
  <c r="U34" i="10" s="1"/>
  <c r="V33" i="10"/>
  <c r="U33" i="10"/>
  <c r="R33" i="10"/>
  <c r="I33" i="10"/>
  <c r="F33" i="10"/>
  <c r="V32" i="10"/>
  <c r="U32" i="10"/>
  <c r="R32" i="10"/>
  <c r="R34" i="10" s="1"/>
  <c r="O32" i="10"/>
  <c r="O34" i="10" s="1"/>
  <c r="L32" i="10"/>
  <c r="L34" i="10" s="1"/>
  <c r="I32" i="10"/>
  <c r="F32" i="10"/>
  <c r="F34" i="10" s="1"/>
  <c r="V31" i="10"/>
  <c r="U31" i="10"/>
  <c r="Q30" i="10"/>
  <c r="P30" i="10"/>
  <c r="N30" i="10"/>
  <c r="M30" i="10"/>
  <c r="K30" i="10"/>
  <c r="J30" i="10"/>
  <c r="H30" i="10"/>
  <c r="G30" i="10"/>
  <c r="E30" i="10"/>
  <c r="V30" i="10" s="1"/>
  <c r="D30" i="10"/>
  <c r="U30" i="10" s="1"/>
  <c r="V29" i="10"/>
  <c r="U29" i="10"/>
  <c r="R29" i="10"/>
  <c r="O29" i="10"/>
  <c r="I29" i="10"/>
  <c r="F29" i="10"/>
  <c r="S29" i="10" s="1"/>
  <c r="V28" i="10"/>
  <c r="U28" i="10"/>
  <c r="R28" i="10"/>
  <c r="R30" i="10" s="1"/>
  <c r="L28" i="10"/>
  <c r="L30" i="10" s="1"/>
  <c r="I28" i="10"/>
  <c r="I30" i="10" s="1"/>
  <c r="F28" i="10"/>
  <c r="S28" i="10" s="1"/>
  <c r="S30" i="10" s="1"/>
  <c r="Y30" i="10" s="1"/>
  <c r="V27" i="10"/>
  <c r="U27" i="10"/>
  <c r="Q26" i="10"/>
  <c r="P26" i="10"/>
  <c r="O26" i="10"/>
  <c r="N26" i="10"/>
  <c r="M26" i="10"/>
  <c r="K26" i="10"/>
  <c r="J26" i="10"/>
  <c r="H26" i="10"/>
  <c r="G26" i="10"/>
  <c r="E26" i="10"/>
  <c r="V26" i="10" s="1"/>
  <c r="D26" i="10"/>
  <c r="V25" i="10"/>
  <c r="U25" i="10"/>
  <c r="R25" i="10"/>
  <c r="I25" i="10"/>
  <c r="F25" i="10"/>
  <c r="V24" i="10"/>
  <c r="U24" i="10"/>
  <c r="R24" i="10"/>
  <c r="R26" i="10" s="1"/>
  <c r="L24" i="10"/>
  <c r="L26" i="10" s="1"/>
  <c r="I24" i="10"/>
  <c r="I26" i="10" s="1"/>
  <c r="F24" i="10"/>
  <c r="S24" i="10" s="1"/>
  <c r="V23" i="10"/>
  <c r="U23" i="10"/>
  <c r="Q22" i="10"/>
  <c r="P22" i="10"/>
  <c r="N22" i="10"/>
  <c r="M22" i="10"/>
  <c r="K22" i="10"/>
  <c r="J22" i="10"/>
  <c r="H22" i="10"/>
  <c r="G22" i="10"/>
  <c r="E22" i="10"/>
  <c r="D22" i="10"/>
  <c r="U22" i="10" s="1"/>
  <c r="V21" i="10"/>
  <c r="U21" i="10"/>
  <c r="R21" i="10"/>
  <c r="R22" i="10" s="1"/>
  <c r="I21" i="10"/>
  <c r="F21" i="10"/>
  <c r="V20" i="10"/>
  <c r="U20" i="10"/>
  <c r="R20" i="10"/>
  <c r="O20" i="10"/>
  <c r="O22" i="10" s="1"/>
  <c r="L20" i="10"/>
  <c r="L22" i="10" s="1"/>
  <c r="I20" i="10"/>
  <c r="I22" i="10" s="1"/>
  <c r="F20" i="10"/>
  <c r="V19" i="10"/>
  <c r="U19" i="10"/>
  <c r="Q18" i="10"/>
  <c r="P18" i="10"/>
  <c r="N18" i="10"/>
  <c r="N71" i="10" s="1"/>
  <c r="M18" i="10"/>
  <c r="M71" i="10" s="1"/>
  <c r="L18" i="10"/>
  <c r="K18" i="10"/>
  <c r="K71" i="10" s="1"/>
  <c r="J18" i="10"/>
  <c r="J71" i="10" s="1"/>
  <c r="H18" i="10"/>
  <c r="H71" i="10" s="1"/>
  <c r="G18" i="10"/>
  <c r="G71" i="10" s="1"/>
  <c r="E18" i="10"/>
  <c r="E71" i="10" s="1"/>
  <c r="F75" i="10" s="1"/>
  <c r="D18" i="10"/>
  <c r="V17" i="10"/>
  <c r="U17" i="10"/>
  <c r="R17" i="10"/>
  <c r="R18" i="10" s="1"/>
  <c r="I17" i="10"/>
  <c r="F17" i="10"/>
  <c r="Y16" i="10"/>
  <c r="V16" i="10"/>
  <c r="U16" i="10"/>
  <c r="R16" i="10"/>
  <c r="O16" i="10"/>
  <c r="O18" i="10" s="1"/>
  <c r="F16" i="10"/>
  <c r="S16" i="10" s="1"/>
  <c r="S21" i="10" l="1"/>
  <c r="S25" i="10"/>
  <c r="U26" i="10"/>
  <c r="I34" i="10"/>
  <c r="S33" i="10"/>
  <c r="S41" i="10"/>
  <c r="S44" i="10"/>
  <c r="S46" i="10" s="1"/>
  <c r="Y46" i="10" s="1"/>
  <c r="S45" i="10"/>
  <c r="F50" i="10"/>
  <c r="S49" i="10"/>
  <c r="F58" i="10"/>
  <c r="R58" i="10"/>
  <c r="S57" i="10"/>
  <c r="I62" i="10"/>
  <c r="U60" i="10"/>
  <c r="S64" i="10"/>
  <c r="S66" i="10" s="1"/>
  <c r="Y66" i="10" s="1"/>
  <c r="R70" i="10"/>
  <c r="S17" i="10"/>
  <c r="S18" i="10" s="1"/>
  <c r="I18" i="10"/>
  <c r="V18" i="10"/>
  <c r="S20" i="10"/>
  <c r="S22" i="10" s="1"/>
  <c r="F22" i="10"/>
  <c r="W38" i="10"/>
  <c r="W46" i="10"/>
  <c r="F18" i="10"/>
  <c r="L71" i="10"/>
  <c r="U18" i="10"/>
  <c r="V22" i="10"/>
  <c r="S26" i="10"/>
  <c r="Y26" i="10" s="1"/>
  <c r="W30" i="10"/>
  <c r="S34" i="10"/>
  <c r="Y34" i="10" s="1"/>
  <c r="V50" i="10"/>
  <c r="W66" i="10"/>
  <c r="O30" i="10"/>
  <c r="S32" i="10"/>
  <c r="S40" i="10"/>
  <c r="S42" i="10" s="1"/>
  <c r="Y42" i="10" s="1"/>
  <c r="F46" i="10"/>
  <c r="V48" i="10"/>
  <c r="P50" i="10"/>
  <c r="U50" i="10" s="1"/>
  <c r="R52" i="10"/>
  <c r="R54" i="10" s="1"/>
  <c r="U52" i="10"/>
  <c r="S53" i="10"/>
  <c r="O54" i="10"/>
  <c r="Q54" i="10"/>
  <c r="Q71" i="10" s="1"/>
  <c r="S56" i="10"/>
  <c r="S58" i="10" s="1"/>
  <c r="Y58" i="10" s="1"/>
  <c r="F66" i="10"/>
  <c r="U68" i="10"/>
  <c r="F26" i="10"/>
  <c r="F30" i="10"/>
  <c r="F38" i="10"/>
  <c r="F42" i="10"/>
  <c r="R48" i="10"/>
  <c r="R50" i="10" s="1"/>
  <c r="R71" i="10" s="1"/>
  <c r="U48" i="10"/>
  <c r="D54" i="10"/>
  <c r="U54" i="10" s="1"/>
  <c r="S60" i="10"/>
  <c r="S62" i="10" s="1"/>
  <c r="V70" i="10"/>
  <c r="I70" i="10"/>
  <c r="S70" i="10" s="1"/>
  <c r="Y70" i="10" s="1"/>
  <c r="W62" i="10" l="1"/>
  <c r="Y62" i="10"/>
  <c r="W22" i="10"/>
  <c r="Y22" i="10"/>
  <c r="O71" i="10"/>
  <c r="W18" i="10"/>
  <c r="Y18" i="10"/>
  <c r="W70" i="10"/>
  <c r="V71" i="10"/>
  <c r="W58" i="10"/>
  <c r="W26" i="10"/>
  <c r="F71" i="10"/>
  <c r="S52" i="10"/>
  <c r="S54" i="10" s="1"/>
  <c r="I71" i="10"/>
  <c r="S48" i="10"/>
  <c r="S50" i="10" s="1"/>
  <c r="Y50" i="10" s="1"/>
  <c r="W42" i="10"/>
  <c r="W34" i="10"/>
  <c r="P71" i="10"/>
  <c r="F78" i="10" s="1"/>
  <c r="D71" i="10"/>
  <c r="V54" i="10"/>
  <c r="Q69" i="9"/>
  <c r="P69" i="9"/>
  <c r="N69" i="9"/>
  <c r="M69" i="9"/>
  <c r="H69" i="9"/>
  <c r="G69" i="9"/>
  <c r="E69" i="9"/>
  <c r="D69" i="9"/>
  <c r="I68" i="9"/>
  <c r="F68" i="9"/>
  <c r="F69" i="9" s="1"/>
  <c r="R67" i="9"/>
  <c r="O67" i="9"/>
  <c r="I67" i="9"/>
  <c r="Q65" i="9"/>
  <c r="P65" i="9"/>
  <c r="N65" i="9"/>
  <c r="M65" i="9"/>
  <c r="K65" i="9"/>
  <c r="J65" i="9"/>
  <c r="H65" i="9"/>
  <c r="G65" i="9"/>
  <c r="E65" i="9"/>
  <c r="D65" i="9"/>
  <c r="R64" i="9"/>
  <c r="I64" i="9"/>
  <c r="F64" i="9"/>
  <c r="S64" i="9" s="1"/>
  <c r="R63" i="9"/>
  <c r="R65" i="9" s="1"/>
  <c r="O63" i="9"/>
  <c r="O65" i="9" s="1"/>
  <c r="L63" i="9"/>
  <c r="L65" i="9" s="1"/>
  <c r="I63" i="9"/>
  <c r="I65" i="9" s="1"/>
  <c r="F63" i="9"/>
  <c r="F65" i="9" s="1"/>
  <c r="Q61" i="9"/>
  <c r="P61" i="9"/>
  <c r="N61" i="9"/>
  <c r="M61" i="9"/>
  <c r="K61" i="9"/>
  <c r="J61" i="9"/>
  <c r="H61" i="9"/>
  <c r="G61" i="9"/>
  <c r="E61" i="9"/>
  <c r="D61" i="9"/>
  <c r="R60" i="9"/>
  <c r="I60" i="9"/>
  <c r="F60" i="9"/>
  <c r="F61" i="9" s="1"/>
  <c r="R59" i="9"/>
  <c r="R61" i="9" s="1"/>
  <c r="O59" i="9"/>
  <c r="O61" i="9" s="1"/>
  <c r="L59" i="9"/>
  <c r="L61" i="9" s="1"/>
  <c r="I59" i="9"/>
  <c r="S59" i="9" s="1"/>
  <c r="Q57" i="9"/>
  <c r="P57" i="9"/>
  <c r="N57" i="9"/>
  <c r="M57" i="9"/>
  <c r="K57" i="9"/>
  <c r="J57" i="9"/>
  <c r="H57" i="9"/>
  <c r="G57" i="9"/>
  <c r="E57" i="9"/>
  <c r="D57" i="9"/>
  <c r="R56" i="9"/>
  <c r="I56" i="9"/>
  <c r="F56" i="9"/>
  <c r="R55" i="9"/>
  <c r="R57" i="9" s="1"/>
  <c r="O55" i="9"/>
  <c r="O57" i="9" s="1"/>
  <c r="L55" i="9"/>
  <c r="L57" i="9" s="1"/>
  <c r="I55" i="9"/>
  <c r="I57" i="9" s="1"/>
  <c r="F55" i="9"/>
  <c r="F57" i="9" s="1"/>
  <c r="N53" i="9"/>
  <c r="M53" i="9"/>
  <c r="L53" i="9"/>
  <c r="K53" i="9"/>
  <c r="J53" i="9"/>
  <c r="H53" i="9"/>
  <c r="G53" i="9"/>
  <c r="E53" i="9"/>
  <c r="D53" i="9"/>
  <c r="R52" i="9"/>
  <c r="I52" i="9"/>
  <c r="I53" i="9" s="1"/>
  <c r="F52" i="9"/>
  <c r="F53" i="9" s="1"/>
  <c r="Q51" i="9"/>
  <c r="Q53" i="9" s="1"/>
  <c r="P51" i="9"/>
  <c r="O51" i="9"/>
  <c r="O53" i="9" s="1"/>
  <c r="N49" i="9"/>
  <c r="M49" i="9"/>
  <c r="L49" i="9"/>
  <c r="K49" i="9"/>
  <c r="J49" i="9"/>
  <c r="H49" i="9"/>
  <c r="G49" i="9"/>
  <c r="E49" i="9"/>
  <c r="D49" i="9"/>
  <c r="R48" i="9"/>
  <c r="I48" i="9"/>
  <c r="F48" i="9"/>
  <c r="Q47" i="9"/>
  <c r="Q49" i="9" s="1"/>
  <c r="P47" i="9"/>
  <c r="P49" i="9" s="1"/>
  <c r="O47" i="9"/>
  <c r="O49" i="9" s="1"/>
  <c r="I47" i="9"/>
  <c r="I49" i="9" s="1"/>
  <c r="F47" i="9"/>
  <c r="Q45" i="9"/>
  <c r="P45" i="9"/>
  <c r="O45" i="9"/>
  <c r="N45" i="9"/>
  <c r="M45" i="9"/>
  <c r="K45" i="9"/>
  <c r="J45" i="9"/>
  <c r="H45" i="9"/>
  <c r="G45" i="9"/>
  <c r="E45" i="9"/>
  <c r="D45" i="9"/>
  <c r="R44" i="9"/>
  <c r="I44" i="9"/>
  <c r="F44" i="9"/>
  <c r="R43" i="9"/>
  <c r="R45" i="9" s="1"/>
  <c r="L43" i="9"/>
  <c r="L45" i="9" s="1"/>
  <c r="I43" i="9"/>
  <c r="I45" i="9" s="1"/>
  <c r="F43" i="9"/>
  <c r="Q41" i="9"/>
  <c r="P41" i="9"/>
  <c r="O41" i="9"/>
  <c r="N41" i="9"/>
  <c r="M41" i="9"/>
  <c r="L41" i="9"/>
  <c r="K41" i="9"/>
  <c r="J41" i="9"/>
  <c r="H41" i="9"/>
  <c r="G41" i="9"/>
  <c r="E41" i="9"/>
  <c r="D41" i="9"/>
  <c r="R40" i="9"/>
  <c r="I40" i="9"/>
  <c r="F40" i="9"/>
  <c r="S40" i="9" s="1"/>
  <c r="R39" i="9"/>
  <c r="R41" i="9" s="1"/>
  <c r="I39" i="9"/>
  <c r="I41" i="9" s="1"/>
  <c r="F39" i="9"/>
  <c r="Q37" i="9"/>
  <c r="P37" i="9"/>
  <c r="N37" i="9"/>
  <c r="M37" i="9"/>
  <c r="L37" i="9"/>
  <c r="K37" i="9"/>
  <c r="J37" i="9"/>
  <c r="H37" i="9"/>
  <c r="G37" i="9"/>
  <c r="E37" i="9"/>
  <c r="D37" i="9"/>
  <c r="R36" i="9"/>
  <c r="F36" i="9"/>
  <c r="R35" i="9"/>
  <c r="R37" i="9" s="1"/>
  <c r="O35" i="9"/>
  <c r="O37" i="9" s="1"/>
  <c r="I35" i="9"/>
  <c r="I37" i="9" s="1"/>
  <c r="F35" i="9"/>
  <c r="S35" i="9" s="1"/>
  <c r="Q33" i="9"/>
  <c r="P33" i="9"/>
  <c r="N33" i="9"/>
  <c r="M33" i="9"/>
  <c r="K33" i="9"/>
  <c r="J33" i="9"/>
  <c r="H33" i="9"/>
  <c r="G33" i="9"/>
  <c r="E33" i="9"/>
  <c r="D33" i="9"/>
  <c r="R32" i="9"/>
  <c r="I32" i="9"/>
  <c r="F32" i="9"/>
  <c r="R31" i="9"/>
  <c r="O31" i="9"/>
  <c r="O33" i="9" s="1"/>
  <c r="L31" i="9"/>
  <c r="L33" i="9" s="1"/>
  <c r="I31" i="9"/>
  <c r="F31" i="9"/>
  <c r="F33" i="9" s="1"/>
  <c r="Q29" i="9"/>
  <c r="P29" i="9"/>
  <c r="N29" i="9"/>
  <c r="M29" i="9"/>
  <c r="K29" i="9"/>
  <c r="J29" i="9"/>
  <c r="H29" i="9"/>
  <c r="G29" i="9"/>
  <c r="E29" i="9"/>
  <c r="D29" i="9"/>
  <c r="R28" i="9"/>
  <c r="O28" i="9"/>
  <c r="I28" i="9"/>
  <c r="F28" i="9"/>
  <c r="R27" i="9"/>
  <c r="R29" i="9" s="1"/>
  <c r="L27" i="9"/>
  <c r="L29" i="9" s="1"/>
  <c r="I27" i="9"/>
  <c r="I29" i="9" s="1"/>
  <c r="F27" i="9"/>
  <c r="S27" i="9" s="1"/>
  <c r="Q25" i="9"/>
  <c r="P25" i="9"/>
  <c r="O25" i="9"/>
  <c r="N25" i="9"/>
  <c r="M25" i="9"/>
  <c r="K25" i="9"/>
  <c r="J25" i="9"/>
  <c r="H25" i="9"/>
  <c r="G25" i="9"/>
  <c r="E25" i="9"/>
  <c r="D25" i="9"/>
  <c r="F25" i="9" s="1"/>
  <c r="R24" i="9"/>
  <c r="I24" i="9"/>
  <c r="F24" i="9"/>
  <c r="R23" i="9"/>
  <c r="R25" i="9" s="1"/>
  <c r="L23" i="9"/>
  <c r="L25" i="9" s="1"/>
  <c r="I23" i="9"/>
  <c r="I25" i="9" s="1"/>
  <c r="F23" i="9"/>
  <c r="Q21" i="9"/>
  <c r="P21" i="9"/>
  <c r="N21" i="9"/>
  <c r="M21" i="9"/>
  <c r="K21" i="9"/>
  <c r="J21" i="9"/>
  <c r="H21" i="9"/>
  <c r="G21" i="9"/>
  <c r="E21" i="9"/>
  <c r="D21" i="9"/>
  <c r="R20" i="9"/>
  <c r="R21" i="9" s="1"/>
  <c r="I20" i="9"/>
  <c r="F20" i="9"/>
  <c r="R19" i="9"/>
  <c r="O19" i="9"/>
  <c r="O21" i="9" s="1"/>
  <c r="L19" i="9"/>
  <c r="L21" i="9" s="1"/>
  <c r="I19" i="9"/>
  <c r="I21" i="9" s="1"/>
  <c r="F19" i="9"/>
  <c r="Q17" i="9"/>
  <c r="P17" i="9"/>
  <c r="N17" i="9"/>
  <c r="M17" i="9"/>
  <c r="M70" i="9" s="1"/>
  <c r="L17" i="9"/>
  <c r="K17" i="9"/>
  <c r="K70" i="9" s="1"/>
  <c r="J17" i="9"/>
  <c r="J70" i="9" s="1"/>
  <c r="H17" i="9"/>
  <c r="H70" i="9" s="1"/>
  <c r="G17" i="9"/>
  <c r="G70" i="9" s="1"/>
  <c r="E17" i="9"/>
  <c r="E70" i="9" s="1"/>
  <c r="D17" i="9"/>
  <c r="R16" i="9"/>
  <c r="R17" i="9" s="1"/>
  <c r="I16" i="9"/>
  <c r="F16" i="9"/>
  <c r="R15" i="9"/>
  <c r="O15" i="9"/>
  <c r="O17" i="9" s="1"/>
  <c r="F15" i="9"/>
  <c r="Y19" i="7"/>
  <c r="S77" i="7"/>
  <c r="L70" i="9" l="1"/>
  <c r="Q70" i="9"/>
  <c r="S20" i="9"/>
  <c r="S23" i="9"/>
  <c r="S25" i="9" s="1"/>
  <c r="S24" i="9"/>
  <c r="S36" i="9"/>
  <c r="S37" i="9" s="1"/>
  <c r="S39" i="9"/>
  <c r="S43" i="9"/>
  <c r="S44" i="9"/>
  <c r="F49" i="9"/>
  <c r="S56" i="9"/>
  <c r="I61" i="9"/>
  <c r="U71" i="10"/>
  <c r="F74" i="10"/>
  <c r="S29" i="9"/>
  <c r="S28" i="9"/>
  <c r="R33" i="9"/>
  <c r="I33" i="9"/>
  <c r="I69" i="9"/>
  <c r="S71" i="10"/>
  <c r="W50" i="10"/>
  <c r="W54" i="10"/>
  <c r="Y54" i="10"/>
  <c r="D70" i="9"/>
  <c r="N70" i="9"/>
  <c r="S19" i="9"/>
  <c r="S21" i="9" s="1"/>
  <c r="S15" i="9"/>
  <c r="S16" i="9"/>
  <c r="S17" i="9" s="1"/>
  <c r="F17" i="9"/>
  <c r="F21" i="9"/>
  <c r="S33" i="9"/>
  <c r="S41" i="9"/>
  <c r="O29" i="9"/>
  <c r="O70" i="9" s="1"/>
  <c r="S32" i="9"/>
  <c r="F41" i="9"/>
  <c r="I17" i="9"/>
  <c r="I70" i="9" s="1"/>
  <c r="F29" i="9"/>
  <c r="S31" i="9"/>
  <c r="F37" i="9"/>
  <c r="S48" i="9"/>
  <c r="P53" i="9"/>
  <c r="S55" i="9"/>
  <c r="S57" i="9" s="1"/>
  <c r="S60" i="9"/>
  <c r="S61" i="9" s="1"/>
  <c r="S63" i="9"/>
  <c r="S65" i="9" s="1"/>
  <c r="R69" i="9"/>
  <c r="S69" i="9" s="1"/>
  <c r="F45" i="9"/>
  <c r="R47" i="9"/>
  <c r="R49" i="9" s="1"/>
  <c r="R70" i="9" s="1"/>
  <c r="R51" i="9"/>
  <c r="R53" i="9" s="1"/>
  <c r="S52" i="9"/>
  <c r="S51" i="9" l="1"/>
  <c r="S53" i="9" s="1"/>
  <c r="S47" i="9"/>
  <c r="S49" i="9" s="1"/>
  <c r="W71" i="10"/>
  <c r="Y71" i="10"/>
  <c r="H75" i="10"/>
  <c r="F76" i="10"/>
  <c r="S45" i="9"/>
  <c r="F70" i="9"/>
  <c r="P70" i="9"/>
  <c r="S70" i="9"/>
  <c r="W101" i="7" l="1"/>
  <c r="W112" i="7"/>
  <c r="W112" i="8" l="1"/>
  <c r="W122" i="8"/>
  <c r="W120" i="8"/>
  <c r="V131" i="8"/>
  <c r="V129" i="8"/>
  <c r="V127" i="8"/>
  <c r="V126" i="8"/>
  <c r="V125" i="8"/>
  <c r="V122" i="8"/>
  <c r="V120" i="8"/>
  <c r="W101" i="8"/>
  <c r="V132" i="8" l="1"/>
  <c r="V123" i="8"/>
  <c r="V128" i="8"/>
  <c r="V133" i="8" l="1"/>
  <c r="V134" i="8" s="1"/>
  <c r="V106" i="7"/>
  <c r="V101" i="7"/>
  <c r="Y101" i="7" s="1"/>
  <c r="X112" i="7"/>
  <c r="V112" i="7"/>
  <c r="Y112" i="7" s="1"/>
  <c r="X110" i="7"/>
  <c r="W110" i="7"/>
  <c r="W113" i="7" s="1"/>
  <c r="V110" i="7"/>
  <c r="V113" i="7" s="1"/>
  <c r="X108" i="7"/>
  <c r="W108" i="7"/>
  <c r="V108" i="7"/>
  <c r="X107" i="7"/>
  <c r="X109" i="7" s="1"/>
  <c r="X114" i="7" s="1"/>
  <c r="W107" i="7"/>
  <c r="V107" i="7"/>
  <c r="V109" i="7" s="1"/>
  <c r="X106" i="7"/>
  <c r="W106" i="7"/>
  <c r="W109" i="7" s="1"/>
  <c r="V103" i="7"/>
  <c r="W103" i="7" s="1"/>
  <c r="Y103" i="7" s="1"/>
  <c r="X101" i="7"/>
  <c r="X104" i="7" s="1"/>
  <c r="X115" i="7" s="1"/>
  <c r="V92" i="7"/>
  <c r="V104" i="7" l="1"/>
  <c r="W104" i="7"/>
  <c r="V114" i="7"/>
  <c r="Y104" i="7"/>
  <c r="W114" i="7"/>
  <c r="Y114" i="7" s="1"/>
  <c r="V115" i="7" l="1"/>
  <c r="Y115" i="7"/>
  <c r="W115" i="7"/>
  <c r="I78" i="7"/>
  <c r="K87" i="7"/>
  <c r="E122" i="7"/>
  <c r="V97" i="7" l="1"/>
  <c r="P124" i="7"/>
  <c r="F87" i="7" l="1"/>
  <c r="E101" i="7" s="1"/>
  <c r="C101" i="7"/>
  <c r="C127" i="7" s="1"/>
  <c r="M121" i="7"/>
  <c r="M117" i="7"/>
  <c r="K101" i="7" l="1"/>
  <c r="U36" i="8"/>
  <c r="D69" i="7" l="1"/>
  <c r="D52" i="8"/>
  <c r="U62" i="7" l="1"/>
  <c r="D60" i="8"/>
  <c r="F60" i="8" s="1"/>
  <c r="D53" i="7" l="1"/>
  <c r="X82" i="7" l="1"/>
  <c r="X81" i="7" l="1"/>
  <c r="X80" i="7"/>
  <c r="W82" i="7"/>
  <c r="X85" i="7" l="1"/>
  <c r="V87" i="7" s="1"/>
  <c r="V95" i="7" l="1"/>
  <c r="V96" i="7"/>
  <c r="V82" i="7" l="1"/>
  <c r="F116" i="7" l="1"/>
  <c r="F115" i="7"/>
  <c r="F75" i="7"/>
  <c r="V83" i="7" l="1"/>
  <c r="W84" i="7"/>
  <c r="W80" i="7"/>
  <c r="V80" i="7"/>
  <c r="V81" i="7"/>
  <c r="W81" i="7"/>
  <c r="W85" i="7" l="1"/>
  <c r="V85" i="7"/>
  <c r="W92" i="7"/>
  <c r="X112" i="8"/>
  <c r="V112" i="8"/>
  <c r="V106" i="8"/>
  <c r="V107" i="8"/>
  <c r="X108" i="8"/>
  <c r="W108" i="8"/>
  <c r="V108" i="8"/>
  <c r="X110" i="8"/>
  <c r="W110" i="8"/>
  <c r="W113" i="8" s="1"/>
  <c r="V110" i="8"/>
  <c r="V113" i="8" s="1"/>
  <c r="W107" i="8"/>
  <c r="W106" i="8"/>
  <c r="X106" i="8"/>
  <c r="X107" i="8"/>
  <c r="L55" i="7"/>
  <c r="L56" i="8"/>
  <c r="X109" i="8" l="1"/>
  <c r="X114" i="8" s="1"/>
  <c r="W109" i="8"/>
  <c r="W114" i="8" s="1"/>
  <c r="V109" i="8"/>
  <c r="V114" i="8" s="1"/>
  <c r="I126" i="8"/>
  <c r="F126" i="8"/>
  <c r="E125" i="8"/>
  <c r="E124" i="8"/>
  <c r="N123" i="8"/>
  <c r="N124" i="8" s="1"/>
  <c r="M123" i="8"/>
  <c r="I121" i="8"/>
  <c r="I122" i="8" s="1"/>
  <c r="F120" i="8"/>
  <c r="E120" i="8"/>
  <c r="M119" i="8"/>
  <c r="M118" i="8"/>
  <c r="F118" i="8"/>
  <c r="E118" i="8"/>
  <c r="F117" i="8"/>
  <c r="F121" i="8" s="1"/>
  <c r="E117" i="8"/>
  <c r="E121" i="8" s="1"/>
  <c r="V103" i="8"/>
  <c r="M103" i="8"/>
  <c r="M102" i="8"/>
  <c r="C102" i="8"/>
  <c r="C130" i="8" s="1"/>
  <c r="X101" i="8"/>
  <c r="X104" i="8" s="1"/>
  <c r="V101" i="8"/>
  <c r="M101" i="8"/>
  <c r="C101" i="8"/>
  <c r="G92" i="8"/>
  <c r="F92" i="8"/>
  <c r="G91" i="8"/>
  <c r="F91" i="8"/>
  <c r="B96" i="8" s="1"/>
  <c r="J90" i="8"/>
  <c r="G89" i="8"/>
  <c r="F103" i="8" s="1"/>
  <c r="L103" i="8" s="1"/>
  <c r="F89" i="8"/>
  <c r="E103" i="8" s="1"/>
  <c r="G88" i="8"/>
  <c r="F102" i="8" s="1"/>
  <c r="L102" i="8" s="1"/>
  <c r="F88" i="8"/>
  <c r="E102" i="8" s="1"/>
  <c r="G87" i="8"/>
  <c r="F87" i="8"/>
  <c r="Q86" i="8"/>
  <c r="P86" i="8"/>
  <c r="R85" i="8"/>
  <c r="Q85" i="8"/>
  <c r="P85" i="8"/>
  <c r="Q82" i="8"/>
  <c r="H82" i="8"/>
  <c r="Q81" i="8"/>
  <c r="P81" i="8"/>
  <c r="H81" i="8"/>
  <c r="F80" i="8"/>
  <c r="F79" i="8"/>
  <c r="F76" i="8"/>
  <c r="Q70" i="8"/>
  <c r="P70" i="8"/>
  <c r="N70" i="8"/>
  <c r="M70" i="8"/>
  <c r="H70" i="8"/>
  <c r="G70" i="8"/>
  <c r="E70" i="8"/>
  <c r="V70" i="8" s="1"/>
  <c r="D70" i="8"/>
  <c r="U70" i="8" s="1"/>
  <c r="V69" i="8"/>
  <c r="U69" i="8"/>
  <c r="I69" i="8"/>
  <c r="F69" i="8"/>
  <c r="F70" i="8" s="1"/>
  <c r="V68" i="8"/>
  <c r="U68" i="8"/>
  <c r="R68" i="8"/>
  <c r="O68" i="8"/>
  <c r="I68" i="8"/>
  <c r="V67" i="8"/>
  <c r="U67" i="8"/>
  <c r="Q66" i="8"/>
  <c r="P66" i="8"/>
  <c r="N66" i="8"/>
  <c r="M66" i="8"/>
  <c r="K66" i="8"/>
  <c r="J66" i="8"/>
  <c r="H66" i="8"/>
  <c r="G66" i="8"/>
  <c r="E66" i="8"/>
  <c r="V66" i="8" s="1"/>
  <c r="D66" i="8"/>
  <c r="U66" i="8" s="1"/>
  <c r="V65" i="8"/>
  <c r="U65" i="8"/>
  <c r="R65" i="8"/>
  <c r="I65" i="8"/>
  <c r="F65" i="8"/>
  <c r="V64" i="8"/>
  <c r="U64" i="8"/>
  <c r="R64" i="8"/>
  <c r="O64" i="8"/>
  <c r="O66" i="8" s="1"/>
  <c r="L64" i="8"/>
  <c r="L66" i="8" s="1"/>
  <c r="I64" i="8"/>
  <c r="F64" i="8"/>
  <c r="V63" i="8"/>
  <c r="U63" i="8"/>
  <c r="Q62" i="8"/>
  <c r="P62" i="8"/>
  <c r="N62" i="8"/>
  <c r="M62" i="8"/>
  <c r="K62" i="8"/>
  <c r="J62" i="8"/>
  <c r="H62" i="8"/>
  <c r="G62" i="8"/>
  <c r="E62" i="8"/>
  <c r="V62" i="8" s="1"/>
  <c r="D62" i="8"/>
  <c r="U62" i="8" s="1"/>
  <c r="V61" i="8"/>
  <c r="U61" i="8"/>
  <c r="R61" i="8"/>
  <c r="I61" i="8"/>
  <c r="F61" i="8"/>
  <c r="F62" i="8" s="1"/>
  <c r="Z60" i="8"/>
  <c r="V60" i="8"/>
  <c r="U60" i="8"/>
  <c r="R60" i="8"/>
  <c r="R62" i="8" s="1"/>
  <c r="O60" i="8"/>
  <c r="O62" i="8" s="1"/>
  <c r="L60" i="8"/>
  <c r="L62" i="8" s="1"/>
  <c r="I60" i="8"/>
  <c r="V59" i="8"/>
  <c r="U59" i="8"/>
  <c r="Q58" i="8"/>
  <c r="P58" i="8"/>
  <c r="N58" i="8"/>
  <c r="M58" i="8"/>
  <c r="L58" i="8"/>
  <c r="K58" i="8"/>
  <c r="J58" i="8"/>
  <c r="H58" i="8"/>
  <c r="G58" i="8"/>
  <c r="E58" i="8"/>
  <c r="D58" i="8"/>
  <c r="V57" i="8"/>
  <c r="U57" i="8"/>
  <c r="R57" i="8"/>
  <c r="I57" i="8"/>
  <c r="F57" i="8"/>
  <c r="V56" i="8"/>
  <c r="U56" i="8"/>
  <c r="R56" i="8"/>
  <c r="O56" i="8"/>
  <c r="O58" i="8" s="1"/>
  <c r="I56" i="8"/>
  <c r="F56" i="8"/>
  <c r="V55" i="8"/>
  <c r="U55" i="8"/>
  <c r="N54" i="8"/>
  <c r="M54" i="8"/>
  <c r="L54" i="8"/>
  <c r="K54" i="8"/>
  <c r="J54" i="8"/>
  <c r="H54" i="8"/>
  <c r="G54" i="8"/>
  <c r="E54" i="8"/>
  <c r="D54" i="8"/>
  <c r="V53" i="8"/>
  <c r="U53" i="8"/>
  <c r="R53" i="8"/>
  <c r="I53" i="8"/>
  <c r="I54" i="8" s="1"/>
  <c r="F53" i="8"/>
  <c r="F54" i="8" s="1"/>
  <c r="Q52" i="8"/>
  <c r="Q54" i="8" s="1"/>
  <c r="P52" i="8"/>
  <c r="Z52" i="8" s="1"/>
  <c r="O52" i="8"/>
  <c r="O54" i="8" s="1"/>
  <c r="V51" i="8"/>
  <c r="U51" i="8"/>
  <c r="N50" i="8"/>
  <c r="M50" i="8"/>
  <c r="L50" i="8"/>
  <c r="K50" i="8"/>
  <c r="J50" i="8"/>
  <c r="H50" i="8"/>
  <c r="G50" i="8"/>
  <c r="E50" i="8"/>
  <c r="D50" i="8"/>
  <c r="V49" i="8"/>
  <c r="U49" i="8"/>
  <c r="R49" i="8"/>
  <c r="I49" i="8"/>
  <c r="F49" i="8"/>
  <c r="Q48" i="8"/>
  <c r="Q50" i="8" s="1"/>
  <c r="P48" i="8"/>
  <c r="Z49" i="8" s="1"/>
  <c r="O48" i="8"/>
  <c r="O50" i="8" s="1"/>
  <c r="I48" i="8"/>
  <c r="F48" i="8"/>
  <c r="V47" i="8"/>
  <c r="U47" i="8"/>
  <c r="Q46" i="8"/>
  <c r="P46" i="8"/>
  <c r="O46" i="8"/>
  <c r="N46" i="8"/>
  <c r="M46" i="8"/>
  <c r="K46" i="8"/>
  <c r="J46" i="8"/>
  <c r="H46" i="8"/>
  <c r="G46" i="8"/>
  <c r="E46" i="8"/>
  <c r="D46" i="8"/>
  <c r="V45" i="8"/>
  <c r="U45" i="8"/>
  <c r="R45" i="8"/>
  <c r="I45" i="8"/>
  <c r="F45" i="8"/>
  <c r="V44" i="8"/>
  <c r="U44" i="8"/>
  <c r="R44" i="8"/>
  <c r="L44" i="8"/>
  <c r="L46" i="8" s="1"/>
  <c r="I44" i="8"/>
  <c r="I46" i="8" s="1"/>
  <c r="F44" i="8"/>
  <c r="V43" i="8"/>
  <c r="U43" i="8"/>
  <c r="Q42" i="8"/>
  <c r="P42" i="8"/>
  <c r="O42" i="8"/>
  <c r="N42" i="8"/>
  <c r="M42" i="8"/>
  <c r="L42" i="8"/>
  <c r="K42" i="8"/>
  <c r="J42" i="8"/>
  <c r="H42" i="8"/>
  <c r="G42" i="8"/>
  <c r="E42" i="8"/>
  <c r="D42" i="8"/>
  <c r="V41" i="8"/>
  <c r="U41" i="8"/>
  <c r="R41" i="8"/>
  <c r="I41" i="8"/>
  <c r="F41" i="8"/>
  <c r="V40" i="8"/>
  <c r="U40" i="8"/>
  <c r="R40" i="8"/>
  <c r="I40" i="8"/>
  <c r="F40" i="8"/>
  <c r="V39" i="8"/>
  <c r="U39" i="8"/>
  <c r="Q38" i="8"/>
  <c r="P38" i="8"/>
  <c r="N38" i="8"/>
  <c r="M38" i="8"/>
  <c r="L38" i="8"/>
  <c r="K38" i="8"/>
  <c r="J38" i="8"/>
  <c r="H38" i="8"/>
  <c r="G38" i="8"/>
  <c r="E38" i="8"/>
  <c r="D38" i="8"/>
  <c r="V37" i="8"/>
  <c r="U37" i="8"/>
  <c r="R37" i="8"/>
  <c r="F37" i="8"/>
  <c r="Y36" i="8"/>
  <c r="V36" i="8"/>
  <c r="R36" i="8"/>
  <c r="O36" i="8"/>
  <c r="O38" i="8" s="1"/>
  <c r="I36" i="8"/>
  <c r="I38" i="8" s="1"/>
  <c r="F36" i="8"/>
  <c r="V35" i="8"/>
  <c r="U35" i="8"/>
  <c r="Q34" i="8"/>
  <c r="P34" i="8"/>
  <c r="N34" i="8"/>
  <c r="M34" i="8"/>
  <c r="K34" i="8"/>
  <c r="J34" i="8"/>
  <c r="H34" i="8"/>
  <c r="G34" i="8"/>
  <c r="E34" i="8"/>
  <c r="D34" i="8"/>
  <c r="V33" i="8"/>
  <c r="U33" i="8"/>
  <c r="R33" i="8"/>
  <c r="I33" i="8"/>
  <c r="F33" i="8"/>
  <c r="Y32" i="8"/>
  <c r="V32" i="8"/>
  <c r="U32" i="8"/>
  <c r="R32" i="8"/>
  <c r="O32" i="8"/>
  <c r="O34" i="8" s="1"/>
  <c r="L32" i="8"/>
  <c r="L34" i="8" s="1"/>
  <c r="I32" i="8"/>
  <c r="I34" i="8" s="1"/>
  <c r="F32" i="8"/>
  <c r="V31" i="8"/>
  <c r="U31" i="8"/>
  <c r="Q30" i="8"/>
  <c r="P30" i="8"/>
  <c r="N30" i="8"/>
  <c r="M30" i="8"/>
  <c r="K30" i="8"/>
  <c r="J30" i="8"/>
  <c r="H30" i="8"/>
  <c r="G30" i="8"/>
  <c r="E30" i="8"/>
  <c r="V30" i="8" s="1"/>
  <c r="D30" i="8"/>
  <c r="U30" i="8" s="1"/>
  <c r="V29" i="8"/>
  <c r="U29" i="8"/>
  <c r="R29" i="8"/>
  <c r="O29" i="8"/>
  <c r="G120" i="8" s="1"/>
  <c r="I29" i="8"/>
  <c r="F29" i="8"/>
  <c r="V28" i="8"/>
  <c r="U28" i="8"/>
  <c r="R28" i="8"/>
  <c r="R30" i="8" s="1"/>
  <c r="L28" i="8"/>
  <c r="L30" i="8" s="1"/>
  <c r="I28" i="8"/>
  <c r="I30" i="8" s="1"/>
  <c r="F28" i="8"/>
  <c r="V27" i="8"/>
  <c r="U27" i="8"/>
  <c r="Q26" i="8"/>
  <c r="P26" i="8"/>
  <c r="O26" i="8"/>
  <c r="N26" i="8"/>
  <c r="M26" i="8"/>
  <c r="K26" i="8"/>
  <c r="J26" i="8"/>
  <c r="H26" i="8"/>
  <c r="G26" i="8"/>
  <c r="E26" i="8"/>
  <c r="D26" i="8"/>
  <c r="V25" i="8"/>
  <c r="U25" i="8"/>
  <c r="R25" i="8"/>
  <c r="I25" i="8"/>
  <c r="F25" i="8"/>
  <c r="V24" i="8"/>
  <c r="U24" i="8"/>
  <c r="R24" i="8"/>
  <c r="R26" i="8" s="1"/>
  <c r="L24" i="8"/>
  <c r="L26" i="8" s="1"/>
  <c r="I24" i="8"/>
  <c r="F24" i="8"/>
  <c r="V23" i="8"/>
  <c r="U23" i="8"/>
  <c r="Q22" i="8"/>
  <c r="P22" i="8"/>
  <c r="N22" i="8"/>
  <c r="M22" i="8"/>
  <c r="K22" i="8"/>
  <c r="J22" i="8"/>
  <c r="H22" i="8"/>
  <c r="G22" i="8"/>
  <c r="E22" i="8"/>
  <c r="D22" i="8"/>
  <c r="V21" i="8"/>
  <c r="U21" i="8"/>
  <c r="R21" i="8"/>
  <c r="R22" i="8" s="1"/>
  <c r="I21" i="8"/>
  <c r="F21" i="8"/>
  <c r="Y20" i="8"/>
  <c r="V20" i="8"/>
  <c r="U20" i="8"/>
  <c r="R20" i="8"/>
  <c r="O20" i="8"/>
  <c r="O22" i="8" s="1"/>
  <c r="L20" i="8"/>
  <c r="L22" i="8" s="1"/>
  <c r="I20" i="8"/>
  <c r="I22" i="8" s="1"/>
  <c r="F20" i="8"/>
  <c r="V19" i="8"/>
  <c r="U19" i="8"/>
  <c r="Q18" i="8"/>
  <c r="P18" i="8"/>
  <c r="N18" i="8"/>
  <c r="M18" i="8"/>
  <c r="L18" i="8"/>
  <c r="K18" i="8"/>
  <c r="J18" i="8"/>
  <c r="H18" i="8"/>
  <c r="G18" i="8"/>
  <c r="E18" i="8"/>
  <c r="D18" i="8"/>
  <c r="V17" i="8"/>
  <c r="U17" i="8"/>
  <c r="R17" i="8"/>
  <c r="R18" i="8" s="1"/>
  <c r="I17" i="8"/>
  <c r="I18" i="8" s="1"/>
  <c r="F17" i="8"/>
  <c r="Y16" i="8"/>
  <c r="V16" i="8"/>
  <c r="U16" i="8"/>
  <c r="R16" i="8"/>
  <c r="O16" i="8"/>
  <c r="O18" i="8" s="1"/>
  <c r="F16" i="8"/>
  <c r="R90" i="8" l="1"/>
  <c r="R88" i="8"/>
  <c r="F101" i="8"/>
  <c r="I95" i="8"/>
  <c r="Q88" i="8"/>
  <c r="G98" i="8"/>
  <c r="J94" i="8"/>
  <c r="J93" i="8"/>
  <c r="H120" i="8"/>
  <c r="E71" i="8"/>
  <c r="K71" i="8"/>
  <c r="M71" i="8"/>
  <c r="S40" i="8"/>
  <c r="V42" i="8"/>
  <c r="R46" i="8"/>
  <c r="U46" i="8"/>
  <c r="I66" i="8"/>
  <c r="C129" i="8"/>
  <c r="Q71" i="8"/>
  <c r="F78" i="8" s="1"/>
  <c r="F50" i="8"/>
  <c r="S49" i="8"/>
  <c r="S56" i="8"/>
  <c r="V58" i="8"/>
  <c r="E81" i="8"/>
  <c r="M107" i="8"/>
  <c r="N104" i="8" s="1"/>
  <c r="X115" i="8"/>
  <c r="S60" i="8"/>
  <c r="E126" i="8"/>
  <c r="U38" i="8"/>
  <c r="U22" i="8"/>
  <c r="U26" i="8"/>
  <c r="V38" i="8"/>
  <c r="S65" i="8"/>
  <c r="M120" i="8"/>
  <c r="M125" i="8" s="1"/>
  <c r="F129" i="8" s="1"/>
  <c r="S16" i="8"/>
  <c r="J71" i="8"/>
  <c r="L72" i="8" s="1"/>
  <c r="S21" i="8"/>
  <c r="S24" i="8"/>
  <c r="V26" i="8"/>
  <c r="S29" i="8"/>
  <c r="S33" i="8"/>
  <c r="R34" i="8"/>
  <c r="V34" i="8"/>
  <c r="S36" i="8"/>
  <c r="U42" i="8"/>
  <c r="P50" i="8"/>
  <c r="V54" i="8"/>
  <c r="P54" i="8"/>
  <c r="U54" i="8" s="1"/>
  <c r="U58" i="8"/>
  <c r="L71" i="8"/>
  <c r="W63" i="8"/>
  <c r="W103" i="8"/>
  <c r="W104" i="8" s="1"/>
  <c r="W115" i="8" s="1"/>
  <c r="U34" i="8"/>
  <c r="I70" i="8"/>
  <c r="R70" i="8"/>
  <c r="P88" i="8"/>
  <c r="V104" i="8"/>
  <c r="V115" i="8" s="1"/>
  <c r="S25" i="8"/>
  <c r="I26" i="8"/>
  <c r="I62" i="8"/>
  <c r="G118" i="8"/>
  <c r="H118" i="8" s="1"/>
  <c r="R38" i="8"/>
  <c r="S37" i="8"/>
  <c r="R42" i="8"/>
  <c r="S41" i="8"/>
  <c r="S45" i="8"/>
  <c r="R58" i="8"/>
  <c r="I58" i="8"/>
  <c r="S64" i="8"/>
  <c r="R66" i="8"/>
  <c r="D71" i="8"/>
  <c r="G71" i="8"/>
  <c r="V18" i="8"/>
  <c r="F22" i="8"/>
  <c r="S17" i="8"/>
  <c r="S20" i="8"/>
  <c r="S22" i="8" s="1"/>
  <c r="V22" i="8"/>
  <c r="S28" i="8"/>
  <c r="O30" i="8"/>
  <c r="O71" i="8" s="1"/>
  <c r="F34" i="8"/>
  <c r="I42" i="8"/>
  <c r="S44" i="8"/>
  <c r="V46" i="8"/>
  <c r="I50" i="8"/>
  <c r="U50" i="8"/>
  <c r="S32" i="8"/>
  <c r="F46" i="8"/>
  <c r="V48" i="8"/>
  <c r="V50" i="8"/>
  <c r="V52" i="8"/>
  <c r="G117" i="8"/>
  <c r="F18" i="8"/>
  <c r="H71" i="8"/>
  <c r="N71" i="8"/>
  <c r="F77" i="8" s="1"/>
  <c r="U18" i="8"/>
  <c r="F26" i="8"/>
  <c r="F30" i="8"/>
  <c r="F38" i="8"/>
  <c r="F42" i="8"/>
  <c r="R48" i="8"/>
  <c r="R50" i="8" s="1"/>
  <c r="U48" i="8"/>
  <c r="R52" i="8"/>
  <c r="R54" i="8" s="1"/>
  <c r="U52" i="8"/>
  <c r="S53" i="8"/>
  <c r="F58" i="8"/>
  <c r="L101" i="8"/>
  <c r="K102" i="8"/>
  <c r="G102" i="8"/>
  <c r="H102" i="8" s="1"/>
  <c r="K103" i="8"/>
  <c r="G103" i="8"/>
  <c r="H103" i="8" s="1"/>
  <c r="Y104" i="8"/>
  <c r="S57" i="8"/>
  <c r="S58" i="8" s="1"/>
  <c r="S61" i="8"/>
  <c r="N107" i="8"/>
  <c r="N103" i="8"/>
  <c r="F66" i="8"/>
  <c r="K87" i="8"/>
  <c r="C94" i="8"/>
  <c r="E96" i="8"/>
  <c r="G96" i="8"/>
  <c r="E101" i="8"/>
  <c r="C95" i="8"/>
  <c r="Y101" i="8"/>
  <c r="N101" i="8" l="1"/>
  <c r="N102" i="8"/>
  <c r="S62" i="8"/>
  <c r="S18" i="8"/>
  <c r="Y18" i="8" s="1"/>
  <c r="S66" i="8"/>
  <c r="P71" i="8"/>
  <c r="F90" i="8" s="1"/>
  <c r="S26" i="8"/>
  <c r="W26" i="8" s="1"/>
  <c r="S42" i="8"/>
  <c r="W42" i="8" s="1"/>
  <c r="S34" i="8"/>
  <c r="S30" i="8"/>
  <c r="Y30" i="8" s="1"/>
  <c r="S46" i="8"/>
  <c r="Y26" i="8"/>
  <c r="I71" i="8"/>
  <c r="S70" i="8"/>
  <c r="Y70" i="8" s="1"/>
  <c r="Y103" i="8"/>
  <c r="F82" i="8"/>
  <c r="F75" i="8"/>
  <c r="G90" i="8"/>
  <c r="G93" i="8" s="1"/>
  <c r="H92" i="8" s="1"/>
  <c r="W18" i="8"/>
  <c r="V76" i="8"/>
  <c r="U71" i="8"/>
  <c r="I72" i="8"/>
  <c r="S38" i="8"/>
  <c r="W38" i="8" s="1"/>
  <c r="O72" i="8"/>
  <c r="R71" i="8"/>
  <c r="Y58" i="8"/>
  <c r="W58" i="8"/>
  <c r="E104" i="8"/>
  <c r="E107" i="8" s="1"/>
  <c r="K92" i="8"/>
  <c r="C82" i="8"/>
  <c r="E82" i="8"/>
  <c r="F71" i="8"/>
  <c r="G121" i="8"/>
  <c r="H121" i="8" s="1"/>
  <c r="H117" i="8"/>
  <c r="S52" i="8"/>
  <c r="S54" i="8" s="1"/>
  <c r="O74" i="8"/>
  <c r="S48" i="8"/>
  <c r="S50" i="8" s="1"/>
  <c r="V71" i="8"/>
  <c r="N74" i="8"/>
  <c r="Y42" i="8"/>
  <c r="K101" i="8"/>
  <c r="G101" i="8"/>
  <c r="H101" i="8" s="1"/>
  <c r="K93" i="8"/>
  <c r="K90" i="8"/>
  <c r="K89" i="8"/>
  <c r="K88" i="8"/>
  <c r="F104" i="8"/>
  <c r="W117" i="8" s="1"/>
  <c r="Y62" i="8"/>
  <c r="W62" i="8"/>
  <c r="Y46" i="8"/>
  <c r="W46" i="8"/>
  <c r="Y34" i="8"/>
  <c r="W34" i="8"/>
  <c r="W30" i="8"/>
  <c r="Y22" i="8"/>
  <c r="W22" i="8"/>
  <c r="Y38" i="8"/>
  <c r="D17" i="7"/>
  <c r="F48" i="7"/>
  <c r="F23" i="7"/>
  <c r="F15" i="7"/>
  <c r="G92" i="7"/>
  <c r="G91" i="7"/>
  <c r="G89" i="7"/>
  <c r="G88" i="7"/>
  <c r="G87" i="7"/>
  <c r="J95" i="7" s="1"/>
  <c r="E98" i="8" l="1"/>
  <c r="F94" i="8"/>
  <c r="F93" i="8"/>
  <c r="J96" i="7"/>
  <c r="E98" i="7"/>
  <c r="H98" i="8"/>
  <c r="H99" i="8" s="1"/>
  <c r="F74" i="8"/>
  <c r="I90" i="8"/>
  <c r="W66" i="8"/>
  <c r="Y66" i="8"/>
  <c r="W70" i="8"/>
  <c r="H87" i="8"/>
  <c r="P74" i="8"/>
  <c r="H90" i="8"/>
  <c r="H89" i="8"/>
  <c r="S71" i="8"/>
  <c r="Y71" i="8" s="1"/>
  <c r="L74" i="8"/>
  <c r="L76" i="8" s="1"/>
  <c r="H88" i="8"/>
  <c r="U74" i="8"/>
  <c r="E95" i="7"/>
  <c r="F95" i="8"/>
  <c r="F96" i="8"/>
  <c r="F98" i="8"/>
  <c r="I98" i="8"/>
  <c r="L104" i="8"/>
  <c r="F107" i="8"/>
  <c r="E122" i="8"/>
  <c r="G107" i="8"/>
  <c r="W71" i="8"/>
  <c r="Y50" i="8"/>
  <c r="W50" i="8"/>
  <c r="W54" i="8"/>
  <c r="Y54" i="8"/>
  <c r="I93" i="8"/>
  <c r="I88" i="8"/>
  <c r="I87" i="8"/>
  <c r="I92" i="8"/>
  <c r="I89" i="8"/>
  <c r="K104" i="8"/>
  <c r="K107" i="8" s="1"/>
  <c r="G104" i="8"/>
  <c r="H104" i="8" s="1"/>
  <c r="E99" i="8"/>
  <c r="F99" i="8" s="1"/>
  <c r="Q51" i="7"/>
  <c r="P51" i="7"/>
  <c r="Z51" i="7" s="1"/>
  <c r="Q47" i="7"/>
  <c r="P47" i="7"/>
  <c r="H93" i="8" l="1"/>
  <c r="L77" i="8"/>
  <c r="G122" i="8"/>
  <c r="H122" i="8" s="1"/>
  <c r="H107" i="8"/>
  <c r="F122" i="8"/>
  <c r="L107" i="8"/>
  <c r="F124" i="7" l="1"/>
  <c r="F78" i="7"/>
  <c r="N121" i="7" l="1"/>
  <c r="N122" i="7" s="1"/>
  <c r="I124" i="7" l="1"/>
  <c r="C102" i="7"/>
  <c r="E123" i="7"/>
  <c r="C128" i="7" l="1"/>
  <c r="E124" i="7"/>
  <c r="L110" i="7" s="1"/>
  <c r="I127" i="7" l="1"/>
  <c r="M116" i="7"/>
  <c r="E116" i="7"/>
  <c r="F91" i="7"/>
  <c r="F89" i="7"/>
  <c r="E103" i="7" s="1"/>
  <c r="F88" i="7"/>
  <c r="E102" i="7" s="1"/>
  <c r="F92" i="7"/>
  <c r="F79" i="7"/>
  <c r="E80" i="7" s="1"/>
  <c r="Y35" i="7"/>
  <c r="Y31" i="7"/>
  <c r="Y15" i="7"/>
  <c r="N69" i="7"/>
  <c r="M69" i="7"/>
  <c r="R67" i="7"/>
  <c r="O67" i="7"/>
  <c r="M129" i="7" l="1"/>
  <c r="M127" i="7"/>
  <c r="M128" i="7" s="1"/>
  <c r="B96" i="7"/>
  <c r="C94" i="7"/>
  <c r="M118" i="7"/>
  <c r="M123" i="7" s="1"/>
  <c r="O124" i="7" s="1"/>
  <c r="C95" i="7"/>
  <c r="M124" i="7" l="1"/>
  <c r="F64" i="7"/>
  <c r="E65" i="7"/>
  <c r="D65" i="7"/>
  <c r="F63" i="7"/>
  <c r="J127" i="7" l="1"/>
  <c r="F126" i="7"/>
  <c r="F65" i="7"/>
  <c r="L63" i="7"/>
  <c r="O55" i="7" l="1"/>
  <c r="O51" i="7"/>
  <c r="O47" i="7"/>
  <c r="I48" i="7"/>
  <c r="O35" i="7" l="1"/>
  <c r="L31" i="7"/>
  <c r="O31" i="7"/>
  <c r="U27" i="7" l="1"/>
  <c r="L27" i="7"/>
  <c r="L23" i="7"/>
  <c r="L25" i="7" s="1"/>
  <c r="K25" i="7"/>
  <c r="J25" i="7"/>
  <c r="H25" i="7"/>
  <c r="G25" i="7"/>
  <c r="I23" i="7"/>
  <c r="K21" i="7"/>
  <c r="J21" i="7"/>
  <c r="L19" i="7"/>
  <c r="L21" i="7" s="1"/>
  <c r="N21" i="7"/>
  <c r="M21" i="7"/>
  <c r="O19" i="7"/>
  <c r="O21" i="7" s="1"/>
  <c r="N17" i="7" l="1"/>
  <c r="M17" i="7"/>
  <c r="O15" i="7"/>
  <c r="O17" i="7" s="1"/>
  <c r="U15" i="7" l="1"/>
  <c r="H80" i="7" l="1"/>
  <c r="H81" i="7" l="1"/>
  <c r="N103" i="7" l="1"/>
  <c r="N104" i="7"/>
  <c r="N101" i="7"/>
  <c r="N102" i="7" l="1"/>
  <c r="N107" i="7"/>
  <c r="G89" i="4"/>
  <c r="E118" i="7" l="1"/>
  <c r="E119" i="7" s="1"/>
  <c r="F118" i="7"/>
  <c r="F103" i="7"/>
  <c r="O28" i="7"/>
  <c r="G118" i="7" s="1"/>
  <c r="K103" i="7" l="1"/>
  <c r="G103" i="7"/>
  <c r="H103" i="7" s="1"/>
  <c r="F119" i="7"/>
  <c r="H118" i="7"/>
  <c r="L103" i="7" l="1"/>
  <c r="K102" i="7" l="1"/>
  <c r="F102" i="7" l="1"/>
  <c r="L102" i="7" s="1"/>
  <c r="F101" i="7"/>
  <c r="G101" i="7" l="1"/>
  <c r="H101" i="7" s="1"/>
  <c r="L101" i="7"/>
  <c r="G102" i="7"/>
  <c r="U68" i="7"/>
  <c r="I68" i="7"/>
  <c r="I67" i="7"/>
  <c r="R86" i="4"/>
  <c r="I55" i="7"/>
  <c r="F56" i="7"/>
  <c r="F55" i="7"/>
  <c r="L59" i="7"/>
  <c r="F47" i="7" l="1"/>
  <c r="U43" i="7"/>
  <c r="L43" i="7"/>
  <c r="F43" i="7"/>
  <c r="V16" i="7"/>
  <c r="V18" i="7"/>
  <c r="V19" i="7"/>
  <c r="V20" i="7"/>
  <c r="V22" i="7"/>
  <c r="V23" i="7"/>
  <c r="V24" i="7"/>
  <c r="V26" i="7"/>
  <c r="V27" i="7"/>
  <c r="V28" i="7"/>
  <c r="V30" i="7"/>
  <c r="V31" i="7"/>
  <c r="V32" i="7"/>
  <c r="V34" i="7"/>
  <c r="V35" i="7"/>
  <c r="V36" i="7"/>
  <c r="V38" i="7"/>
  <c r="V39" i="7"/>
  <c r="V40" i="7"/>
  <c r="V42" i="7"/>
  <c r="V43" i="7"/>
  <c r="V44" i="7"/>
  <c r="V46" i="7"/>
  <c r="V47" i="7"/>
  <c r="V48" i="7"/>
  <c r="V50" i="7"/>
  <c r="V51" i="7"/>
  <c r="V52" i="7"/>
  <c r="V54" i="7"/>
  <c r="V55" i="7"/>
  <c r="V56" i="7"/>
  <c r="V58" i="7"/>
  <c r="V59" i="7"/>
  <c r="V60" i="7"/>
  <c r="V62" i="7"/>
  <c r="V63" i="7"/>
  <c r="V64" i="7"/>
  <c r="V66" i="7"/>
  <c r="V67" i="7"/>
  <c r="V68" i="7"/>
  <c r="V15" i="7"/>
  <c r="U22" i="7"/>
  <c r="U23" i="7"/>
  <c r="U24" i="7"/>
  <c r="U26" i="7"/>
  <c r="U28" i="7"/>
  <c r="U30" i="7"/>
  <c r="U31" i="7"/>
  <c r="U32" i="7"/>
  <c r="U34" i="7"/>
  <c r="U35" i="7"/>
  <c r="U36" i="7"/>
  <c r="U38" i="7"/>
  <c r="U39" i="7"/>
  <c r="U40" i="7"/>
  <c r="U42" i="7"/>
  <c r="U44" i="7"/>
  <c r="U46" i="7"/>
  <c r="U47" i="7"/>
  <c r="U48" i="7"/>
  <c r="U50" i="7"/>
  <c r="U51" i="7"/>
  <c r="U52" i="7"/>
  <c r="U54" i="7"/>
  <c r="U55" i="7"/>
  <c r="U56" i="7"/>
  <c r="U58" i="7"/>
  <c r="U59" i="7"/>
  <c r="U60" i="7"/>
  <c r="U63" i="7"/>
  <c r="U64" i="7"/>
  <c r="U66" i="7"/>
  <c r="U67" i="7"/>
  <c r="U16" i="7"/>
  <c r="U18" i="7"/>
  <c r="U19" i="7"/>
  <c r="U20" i="7"/>
  <c r="I40" i="7"/>
  <c r="D41" i="7"/>
  <c r="I39" i="7"/>
  <c r="F39" i="7"/>
  <c r="I31" i="7" l="1"/>
  <c r="F28" i="7"/>
  <c r="D33" i="7"/>
  <c r="D29" i="7"/>
  <c r="E25" i="7"/>
  <c r="X24" i="7" s="1"/>
  <c r="D25" i="7"/>
  <c r="F25" i="7" l="1"/>
  <c r="E17" i="7"/>
  <c r="Q69" i="7"/>
  <c r="Z69" i="7" s="1"/>
  <c r="P69" i="7"/>
  <c r="H69" i="7"/>
  <c r="G69" i="7"/>
  <c r="E69" i="7"/>
  <c r="F68" i="7"/>
  <c r="F69" i="7" s="1"/>
  <c r="Q65" i="7"/>
  <c r="P65" i="7"/>
  <c r="N65" i="7"/>
  <c r="Z65" i="7" s="1"/>
  <c r="M65" i="7"/>
  <c r="L65" i="7"/>
  <c r="K65" i="7"/>
  <c r="J65" i="7"/>
  <c r="H65" i="7"/>
  <c r="G65" i="7"/>
  <c r="R64" i="7"/>
  <c r="I64" i="7"/>
  <c r="R63" i="7"/>
  <c r="O63" i="7"/>
  <c r="O65" i="7" s="1"/>
  <c r="I63" i="7"/>
  <c r="Q61" i="7"/>
  <c r="P61" i="7"/>
  <c r="N61" i="7"/>
  <c r="Z61" i="7" s="1"/>
  <c r="M61" i="7"/>
  <c r="L61" i="7"/>
  <c r="K61" i="7"/>
  <c r="J61" i="7"/>
  <c r="H61" i="7"/>
  <c r="G61" i="7"/>
  <c r="E61" i="7"/>
  <c r="X60" i="7" s="1"/>
  <c r="D61" i="7"/>
  <c r="R60" i="7"/>
  <c r="I60" i="7"/>
  <c r="F60" i="7"/>
  <c r="R59" i="7"/>
  <c r="O59" i="7"/>
  <c r="I59" i="7"/>
  <c r="Q57" i="7"/>
  <c r="P57" i="7"/>
  <c r="O57" i="7"/>
  <c r="N57" i="7"/>
  <c r="M57" i="7"/>
  <c r="L57" i="7"/>
  <c r="K57" i="7"/>
  <c r="J57" i="7"/>
  <c r="H57" i="7"/>
  <c r="G57" i="7"/>
  <c r="F57" i="7"/>
  <c r="E57" i="7"/>
  <c r="D57" i="7"/>
  <c r="R56" i="7"/>
  <c r="I56" i="7"/>
  <c r="I57" i="7" s="1"/>
  <c r="R55" i="7"/>
  <c r="R57" i="7" s="1"/>
  <c r="Q53" i="7"/>
  <c r="P53" i="7"/>
  <c r="O53" i="7"/>
  <c r="N53" i="7"/>
  <c r="M53" i="7"/>
  <c r="L53" i="7"/>
  <c r="K53" i="7"/>
  <c r="J53" i="7"/>
  <c r="H53" i="7"/>
  <c r="G53" i="7"/>
  <c r="E53" i="7"/>
  <c r="X53" i="7" s="1"/>
  <c r="R52" i="7"/>
  <c r="I52" i="7"/>
  <c r="I53" i="7" s="1"/>
  <c r="F52" i="7"/>
  <c r="R51" i="7"/>
  <c r="S51" i="7" s="1"/>
  <c r="Q49" i="7"/>
  <c r="P49" i="7"/>
  <c r="O49" i="7"/>
  <c r="N49" i="7"/>
  <c r="M49" i="7"/>
  <c r="L49" i="7"/>
  <c r="K49" i="7"/>
  <c r="J49" i="7"/>
  <c r="H49" i="7"/>
  <c r="G49" i="7"/>
  <c r="E49" i="7"/>
  <c r="X48" i="7" s="1"/>
  <c r="D49" i="7"/>
  <c r="R48" i="7"/>
  <c r="R47" i="7"/>
  <c r="I47" i="7"/>
  <c r="I49" i="7" s="1"/>
  <c r="Q45" i="7"/>
  <c r="Z45" i="7" s="1"/>
  <c r="P45" i="7"/>
  <c r="O45" i="7"/>
  <c r="N45" i="7"/>
  <c r="M45" i="7"/>
  <c r="L45" i="7"/>
  <c r="K45" i="7"/>
  <c r="J45" i="7"/>
  <c r="H45" i="7"/>
  <c r="G45" i="7"/>
  <c r="E45" i="7"/>
  <c r="X45" i="7" s="1"/>
  <c r="D45" i="7"/>
  <c r="R44" i="7"/>
  <c r="I44" i="7"/>
  <c r="F44" i="7"/>
  <c r="R43" i="7"/>
  <c r="I43" i="7"/>
  <c r="Q41" i="7"/>
  <c r="Z40" i="7" s="1"/>
  <c r="P41" i="7"/>
  <c r="O41" i="7"/>
  <c r="N41" i="7"/>
  <c r="M41" i="7"/>
  <c r="L41" i="7"/>
  <c r="K41" i="7"/>
  <c r="J41" i="7"/>
  <c r="I41" i="7"/>
  <c r="H41" i="7"/>
  <c r="G41" i="7"/>
  <c r="E41" i="7"/>
  <c r="R40" i="7"/>
  <c r="F40" i="7"/>
  <c r="R39" i="7"/>
  <c r="Q37" i="7"/>
  <c r="P37" i="7"/>
  <c r="O37" i="7"/>
  <c r="N37" i="7"/>
  <c r="M37" i="7"/>
  <c r="L37" i="7"/>
  <c r="K37" i="7"/>
  <c r="J37" i="7"/>
  <c r="H37" i="7"/>
  <c r="G37" i="7"/>
  <c r="E37" i="7"/>
  <c r="D37" i="7"/>
  <c r="R36" i="7"/>
  <c r="F36" i="7"/>
  <c r="R35" i="7"/>
  <c r="I35" i="7"/>
  <c r="I37" i="7" s="1"/>
  <c r="F35" i="7"/>
  <c r="Q33" i="7"/>
  <c r="P33" i="7"/>
  <c r="O33" i="7"/>
  <c r="N33" i="7"/>
  <c r="M33" i="7"/>
  <c r="L33" i="7"/>
  <c r="K33" i="7"/>
  <c r="J33" i="7"/>
  <c r="H33" i="7"/>
  <c r="G33" i="7"/>
  <c r="E33" i="7"/>
  <c r="X32" i="7" s="1"/>
  <c r="R32" i="7"/>
  <c r="I32" i="7"/>
  <c r="I33" i="7" s="1"/>
  <c r="F32" i="7"/>
  <c r="R31" i="7"/>
  <c r="F31" i="7"/>
  <c r="Q29" i="7"/>
  <c r="P29" i="7"/>
  <c r="O29" i="7"/>
  <c r="N29" i="7"/>
  <c r="M29" i="7"/>
  <c r="L29" i="7"/>
  <c r="K29" i="7"/>
  <c r="J29" i="7"/>
  <c r="H29" i="7"/>
  <c r="G29" i="7"/>
  <c r="E29" i="7"/>
  <c r="R28" i="7"/>
  <c r="I28" i="7"/>
  <c r="R27" i="7"/>
  <c r="I27" i="7"/>
  <c r="F27" i="7"/>
  <c r="Q25" i="7"/>
  <c r="P25" i="7"/>
  <c r="O25" i="7"/>
  <c r="N25" i="7"/>
  <c r="M25" i="7"/>
  <c r="R24" i="7"/>
  <c r="I24" i="7"/>
  <c r="I25" i="7" s="1"/>
  <c r="F24" i="7"/>
  <c r="R23" i="7"/>
  <c r="R25" i="7" s="1"/>
  <c r="Q21" i="7"/>
  <c r="Z21" i="7" s="1"/>
  <c r="P21" i="7"/>
  <c r="H21" i="7"/>
  <c r="G21" i="7"/>
  <c r="E21" i="7"/>
  <c r="X21" i="7" s="1"/>
  <c r="D21" i="7"/>
  <c r="R20" i="7"/>
  <c r="R21" i="7" s="1"/>
  <c r="I20" i="7"/>
  <c r="F20" i="7"/>
  <c r="R19" i="7"/>
  <c r="I19" i="7"/>
  <c r="I21" i="7" s="1"/>
  <c r="F19" i="7"/>
  <c r="Q17" i="7"/>
  <c r="P17" i="7"/>
  <c r="L17" i="7"/>
  <c r="K17" i="7"/>
  <c r="J17" i="7"/>
  <c r="J70" i="7" s="1"/>
  <c r="H17" i="7"/>
  <c r="G17" i="7"/>
  <c r="R16" i="7"/>
  <c r="R17" i="7" s="1"/>
  <c r="I16" i="7"/>
  <c r="F16" i="7"/>
  <c r="R15" i="7"/>
  <c r="S15" i="7" s="1"/>
  <c r="F78" i="4"/>
  <c r="X16" i="7" l="1"/>
  <c r="U29" i="7"/>
  <c r="Z29" i="7"/>
  <c r="Z32" i="7"/>
  <c r="Z48" i="7"/>
  <c r="X37" i="7"/>
  <c r="F41" i="7"/>
  <c r="X40" i="7"/>
  <c r="X65" i="7"/>
  <c r="V17" i="7"/>
  <c r="G115" i="7"/>
  <c r="F29" i="7"/>
  <c r="X29" i="7"/>
  <c r="Z37" i="7"/>
  <c r="Z53" i="7"/>
  <c r="X57" i="7"/>
  <c r="Z57" i="7"/>
  <c r="I61" i="7"/>
  <c r="S59" i="7"/>
  <c r="V69" i="7"/>
  <c r="X68" i="7" s="1"/>
  <c r="X69" i="7"/>
  <c r="Q70" i="7"/>
  <c r="Z16" i="7"/>
  <c r="Z24" i="7"/>
  <c r="N70" i="7"/>
  <c r="S63" i="7"/>
  <c r="F21" i="7"/>
  <c r="D70" i="7"/>
  <c r="F37" i="7"/>
  <c r="F45" i="7"/>
  <c r="E70" i="7"/>
  <c r="F17" i="7"/>
  <c r="V21" i="7"/>
  <c r="X22" i="7" s="1"/>
  <c r="R41" i="7"/>
  <c r="S31" i="7"/>
  <c r="U61" i="7"/>
  <c r="G70" i="7"/>
  <c r="S32" i="7"/>
  <c r="I29" i="7"/>
  <c r="O61" i="7"/>
  <c r="O70" i="7" s="1"/>
  <c r="K70" i="7"/>
  <c r="U21" i="7"/>
  <c r="S23" i="7"/>
  <c r="G116" i="7"/>
  <c r="H116" i="7" s="1"/>
  <c r="M70" i="7"/>
  <c r="I69" i="7"/>
  <c r="R69" i="7"/>
  <c r="H115" i="7"/>
  <c r="V25" i="7"/>
  <c r="S28" i="7"/>
  <c r="U33" i="7"/>
  <c r="V37" i="7"/>
  <c r="X38" i="7" s="1"/>
  <c r="V41" i="7"/>
  <c r="X41" i="7" s="1"/>
  <c r="I45" i="7"/>
  <c r="S44" i="7"/>
  <c r="S52" i="7"/>
  <c r="S53" i="7" s="1"/>
  <c r="V53" i="7"/>
  <c r="X54" i="7" s="1"/>
  <c r="U57" i="7"/>
  <c r="R61" i="7"/>
  <c r="R65" i="7"/>
  <c r="U65" i="7"/>
  <c r="U17" i="7"/>
  <c r="V29" i="7"/>
  <c r="V33" i="7"/>
  <c r="X33" i="7" s="1"/>
  <c r="V65" i="7"/>
  <c r="X66" i="7" s="1"/>
  <c r="V57" i="7"/>
  <c r="X58" i="7" s="1"/>
  <c r="V61" i="7"/>
  <c r="X61" i="7" s="1"/>
  <c r="V49" i="7"/>
  <c r="X49" i="7" s="1"/>
  <c r="V45" i="7"/>
  <c r="X46" i="7" s="1"/>
  <c r="S16" i="7"/>
  <c r="S17" i="7" s="1"/>
  <c r="L70" i="7"/>
  <c r="R33" i="7"/>
  <c r="S36" i="7"/>
  <c r="U37" i="7"/>
  <c r="U41" i="7"/>
  <c r="R45" i="7"/>
  <c r="U45" i="7"/>
  <c r="S48" i="7"/>
  <c r="U49" i="7"/>
  <c r="U53" i="7"/>
  <c r="U69" i="7"/>
  <c r="U25" i="7"/>
  <c r="P70" i="7"/>
  <c r="F90" i="7" s="1"/>
  <c r="E97" i="7" s="1"/>
  <c r="I65" i="7"/>
  <c r="F76" i="7"/>
  <c r="S60" i="7"/>
  <c r="R49" i="7"/>
  <c r="F49" i="7"/>
  <c r="R37" i="7"/>
  <c r="H70" i="7"/>
  <c r="F33" i="7"/>
  <c r="R29" i="7"/>
  <c r="S20" i="7"/>
  <c r="I17" i="7"/>
  <c r="S19" i="7"/>
  <c r="S24" i="7"/>
  <c r="S25" i="7" s="1"/>
  <c r="K90" i="7"/>
  <c r="K93" i="7"/>
  <c r="K92" i="7"/>
  <c r="K89" i="7"/>
  <c r="K88" i="7"/>
  <c r="S35" i="7"/>
  <c r="S37" i="7" s="1"/>
  <c r="S40" i="7"/>
  <c r="S47" i="7"/>
  <c r="F53" i="7"/>
  <c r="R53" i="7"/>
  <c r="S56" i="7"/>
  <c r="F61" i="7"/>
  <c r="S64" i="7"/>
  <c r="S65" i="7" s="1"/>
  <c r="Y65" i="7" s="1"/>
  <c r="S27" i="7"/>
  <c r="S39" i="7"/>
  <c r="S43" i="7"/>
  <c r="S55" i="7"/>
  <c r="W17" i="7" l="1"/>
  <c r="Y17" i="7"/>
  <c r="U87" i="7"/>
  <c r="U70" i="7"/>
  <c r="Y37" i="7"/>
  <c r="Y25" i="7"/>
  <c r="W25" i="7"/>
  <c r="X75" i="7"/>
  <c r="X30" i="7"/>
  <c r="X25" i="7"/>
  <c r="L71" i="7"/>
  <c r="Z75" i="7"/>
  <c r="W62" i="7"/>
  <c r="Y88" i="7"/>
  <c r="N73" i="7"/>
  <c r="O71" i="7"/>
  <c r="V70" i="7"/>
  <c r="S61" i="7"/>
  <c r="Y61" i="7" s="1"/>
  <c r="X18" i="7"/>
  <c r="F71" i="7"/>
  <c r="K71" i="7"/>
  <c r="F77" i="7"/>
  <c r="E81" i="7" s="1"/>
  <c r="G90" i="7"/>
  <c r="E96" i="7" s="1"/>
  <c r="O73" i="7"/>
  <c r="F70" i="7"/>
  <c r="I70" i="7"/>
  <c r="S69" i="7"/>
  <c r="I71" i="7"/>
  <c r="S21" i="7"/>
  <c r="S29" i="7"/>
  <c r="F74" i="7"/>
  <c r="B81" i="7" s="1"/>
  <c r="S33" i="7"/>
  <c r="Y33" i="7" s="1"/>
  <c r="F73" i="7"/>
  <c r="G119" i="7"/>
  <c r="H119" i="7" s="1"/>
  <c r="S45" i="7"/>
  <c r="Y53" i="7"/>
  <c r="W53" i="7"/>
  <c r="S41" i="7"/>
  <c r="Y41" i="7" s="1"/>
  <c r="S57" i="7"/>
  <c r="Y57" i="7" s="1"/>
  <c r="S49" i="7"/>
  <c r="R70" i="7"/>
  <c r="W37" i="7"/>
  <c r="W45" i="7" l="1"/>
  <c r="Y45" i="7"/>
  <c r="Y21" i="7"/>
  <c r="W21" i="7"/>
  <c r="W69" i="7"/>
  <c r="Y69" i="7"/>
  <c r="U73" i="7"/>
  <c r="W49" i="7"/>
  <c r="Y49" i="7"/>
  <c r="W29" i="7"/>
  <c r="Y29" i="7"/>
  <c r="S71" i="7"/>
  <c r="S73" i="7" s="1"/>
  <c r="S70" i="7"/>
  <c r="X87" i="7"/>
  <c r="X89" i="7" s="1"/>
  <c r="U88" i="7"/>
  <c r="E99" i="7"/>
  <c r="W41" i="7"/>
  <c r="L73" i="7"/>
  <c r="L76" i="7" s="1"/>
  <c r="F81" i="7"/>
  <c r="E71" i="7"/>
  <c r="W87" i="7"/>
  <c r="P73" i="7"/>
  <c r="F104" i="7"/>
  <c r="L104" i="7" s="1"/>
  <c r="H71" i="7"/>
  <c r="V93" i="7"/>
  <c r="W33" i="7"/>
  <c r="F93" i="7"/>
  <c r="I91" i="7" s="1"/>
  <c r="W57" i="7"/>
  <c r="G93" i="7"/>
  <c r="F98" i="7" s="1"/>
  <c r="E104" i="7"/>
  <c r="K104" i="7" s="1"/>
  <c r="K107" i="7" s="1"/>
  <c r="W65" i="7"/>
  <c r="W61" i="7"/>
  <c r="F80" i="4"/>
  <c r="H78" i="4"/>
  <c r="P82" i="4"/>
  <c r="P83" i="4"/>
  <c r="Q82" i="4"/>
  <c r="Q86" i="4" s="1"/>
  <c r="Q85" i="4"/>
  <c r="P85" i="4"/>
  <c r="Q83" i="4"/>
  <c r="P86" i="4" l="1"/>
  <c r="Y70" i="7"/>
  <c r="W70" i="7"/>
  <c r="F97" i="7"/>
  <c r="H87" i="7"/>
  <c r="H91" i="7"/>
  <c r="F95" i="7"/>
  <c r="F96" i="7"/>
  <c r="S75" i="7"/>
  <c r="I93" i="7"/>
  <c r="I98" i="7"/>
  <c r="I88" i="7"/>
  <c r="F94" i="7"/>
  <c r="I87" i="7"/>
  <c r="E107" i="7"/>
  <c r="E120" i="7" s="1"/>
  <c r="I92" i="7"/>
  <c r="I89" i="7"/>
  <c r="I90" i="7"/>
  <c r="G104" i="7"/>
  <c r="H104" i="7" s="1"/>
  <c r="L75" i="7"/>
  <c r="H90" i="7"/>
  <c r="H89" i="7"/>
  <c r="H88" i="7"/>
  <c r="H92" i="7"/>
  <c r="F107" i="7"/>
  <c r="L107" i="7" s="1"/>
  <c r="H102" i="7"/>
  <c r="H80" i="4"/>
  <c r="J86" i="4"/>
  <c r="J85" i="4"/>
  <c r="J90" i="4"/>
  <c r="G85" i="4"/>
  <c r="F85" i="4"/>
  <c r="E34" i="4"/>
  <c r="D34" i="4"/>
  <c r="F31" i="4"/>
  <c r="S31" i="4" s="1"/>
  <c r="F99" i="7" l="1"/>
  <c r="H93" i="7"/>
  <c r="G107" i="7"/>
  <c r="G120" i="7" s="1"/>
  <c r="H120" i="7" s="1"/>
  <c r="F120" i="7"/>
  <c r="H79" i="4"/>
  <c r="H77" i="4"/>
  <c r="K90" i="4"/>
  <c r="K89" i="4"/>
  <c r="K88" i="4"/>
  <c r="K87" i="4"/>
  <c r="K86" i="4"/>
  <c r="K85" i="4"/>
  <c r="G86" i="4"/>
  <c r="G87" i="4"/>
  <c r="F89" i="4"/>
  <c r="F87" i="4"/>
  <c r="F86" i="4"/>
  <c r="E95" i="4" s="1"/>
  <c r="R24" i="4"/>
  <c r="R26" i="4" s="1"/>
  <c r="Q26" i="4"/>
  <c r="P26" i="4"/>
  <c r="R68" i="4"/>
  <c r="F68" i="4"/>
  <c r="R64" i="4"/>
  <c r="O64" i="4"/>
  <c r="I64" i="4"/>
  <c r="F64" i="4"/>
  <c r="S64" i="4" s="1"/>
  <c r="D62" i="4"/>
  <c r="R60" i="4"/>
  <c r="O60" i="4"/>
  <c r="I60" i="4"/>
  <c r="F60" i="4"/>
  <c r="R56" i="4"/>
  <c r="S56" i="4" s="1"/>
  <c r="I57" i="4"/>
  <c r="R57" i="4"/>
  <c r="R52" i="4"/>
  <c r="R48" i="4"/>
  <c r="I48" i="4"/>
  <c r="R44" i="4"/>
  <c r="I44" i="4"/>
  <c r="S44" i="4" s="1"/>
  <c r="R40" i="4"/>
  <c r="S40" i="4" s="1"/>
  <c r="D38" i="4"/>
  <c r="R36" i="4"/>
  <c r="I36" i="4"/>
  <c r="F36" i="4"/>
  <c r="G34" i="4"/>
  <c r="H34" i="4"/>
  <c r="J34" i="4"/>
  <c r="K34" i="4"/>
  <c r="L34" i="4"/>
  <c r="M34" i="4"/>
  <c r="N34" i="4"/>
  <c r="O34" i="4"/>
  <c r="P34" i="4"/>
  <c r="Q34" i="4"/>
  <c r="R32" i="4"/>
  <c r="F32" i="4"/>
  <c r="R28" i="4"/>
  <c r="I28" i="4"/>
  <c r="F28" i="4"/>
  <c r="Q22" i="4"/>
  <c r="P22" i="4"/>
  <c r="H22" i="4"/>
  <c r="G22" i="4"/>
  <c r="E22" i="4"/>
  <c r="D22" i="4"/>
  <c r="Q18" i="4"/>
  <c r="P18" i="4"/>
  <c r="R20" i="4"/>
  <c r="I20" i="4"/>
  <c r="I22" i="4" s="1"/>
  <c r="F20" i="4"/>
  <c r="R16" i="4"/>
  <c r="S16" i="4" s="1"/>
  <c r="S57" i="4" l="1"/>
  <c r="S58" i="4" s="1"/>
  <c r="H107" i="7"/>
  <c r="S60" i="4"/>
  <c r="S52" i="4"/>
  <c r="S48" i="4"/>
  <c r="S36" i="4"/>
  <c r="S32" i="4"/>
  <c r="S28" i="4"/>
  <c r="S20" i="4"/>
  <c r="H83" i="4"/>
  <c r="Q70" i="4" l="1"/>
  <c r="P70" i="4"/>
  <c r="H70" i="4"/>
  <c r="G70" i="4"/>
  <c r="E70" i="4"/>
  <c r="D70" i="4"/>
  <c r="F69" i="4"/>
  <c r="Q66" i="4"/>
  <c r="P66" i="4"/>
  <c r="N66" i="4"/>
  <c r="M66" i="4"/>
  <c r="L66" i="4"/>
  <c r="K66" i="4"/>
  <c r="J66" i="4"/>
  <c r="H66" i="4"/>
  <c r="G66" i="4"/>
  <c r="E66" i="4"/>
  <c r="D66" i="4"/>
  <c r="R65" i="4"/>
  <c r="I65" i="4"/>
  <c r="F65" i="4"/>
  <c r="O66" i="4"/>
  <c r="I66" i="4"/>
  <c r="F70" i="4" l="1"/>
  <c r="R66" i="4"/>
  <c r="I70" i="4"/>
  <c r="S65" i="4"/>
  <c r="F66" i="4"/>
  <c r="O58" i="4"/>
  <c r="Q62" i="4"/>
  <c r="P62" i="4"/>
  <c r="O62" i="4"/>
  <c r="N62" i="4"/>
  <c r="M62" i="4"/>
  <c r="L62" i="4"/>
  <c r="K62" i="4"/>
  <c r="J62" i="4"/>
  <c r="H62" i="4"/>
  <c r="G62" i="4"/>
  <c r="E62" i="4"/>
  <c r="R61" i="4"/>
  <c r="I61" i="4"/>
  <c r="F61" i="4"/>
  <c r="Q58" i="4"/>
  <c r="P58" i="4"/>
  <c r="N58" i="4"/>
  <c r="M58" i="4"/>
  <c r="L58" i="4"/>
  <c r="K58" i="4"/>
  <c r="J58" i="4"/>
  <c r="H58" i="4"/>
  <c r="G58" i="4"/>
  <c r="E58" i="4"/>
  <c r="D58" i="4"/>
  <c r="F53" i="4"/>
  <c r="I53" i="4"/>
  <c r="R53" i="4"/>
  <c r="R54" i="4" s="1"/>
  <c r="Q54" i="4"/>
  <c r="P54" i="4"/>
  <c r="O54" i="4"/>
  <c r="N54" i="4"/>
  <c r="M54" i="4"/>
  <c r="L54" i="4"/>
  <c r="K54" i="4"/>
  <c r="J54" i="4"/>
  <c r="H54" i="4"/>
  <c r="G54" i="4"/>
  <c r="E54" i="4"/>
  <c r="D54" i="4"/>
  <c r="Q50" i="4"/>
  <c r="P50" i="4"/>
  <c r="O50" i="4"/>
  <c r="N50" i="4"/>
  <c r="M50" i="4"/>
  <c r="L50" i="4"/>
  <c r="K50" i="4"/>
  <c r="J50" i="4"/>
  <c r="H50" i="4"/>
  <c r="G50" i="4"/>
  <c r="E50" i="4"/>
  <c r="D50" i="4"/>
  <c r="R49" i="4"/>
  <c r="F49" i="4"/>
  <c r="Q46" i="4"/>
  <c r="P46" i="4"/>
  <c r="O46" i="4"/>
  <c r="N46" i="4"/>
  <c r="M46" i="4"/>
  <c r="L46" i="4"/>
  <c r="K46" i="4"/>
  <c r="J46" i="4"/>
  <c r="H46" i="4"/>
  <c r="G46" i="4"/>
  <c r="E46" i="4"/>
  <c r="D46" i="4"/>
  <c r="R45" i="4"/>
  <c r="I45" i="4"/>
  <c r="F45" i="4"/>
  <c r="E42" i="4"/>
  <c r="G42" i="4"/>
  <c r="H42" i="4"/>
  <c r="J42" i="4"/>
  <c r="K42" i="4"/>
  <c r="L42" i="4"/>
  <c r="M42" i="4"/>
  <c r="N42" i="4"/>
  <c r="O42" i="4"/>
  <c r="P42" i="4"/>
  <c r="Q42" i="4"/>
  <c r="D42" i="4"/>
  <c r="E38" i="4"/>
  <c r="G38" i="4"/>
  <c r="H38" i="4"/>
  <c r="J38" i="4"/>
  <c r="K38" i="4"/>
  <c r="L38" i="4"/>
  <c r="M38" i="4"/>
  <c r="N38" i="4"/>
  <c r="O38" i="4"/>
  <c r="P38" i="4"/>
  <c r="Q38" i="4"/>
  <c r="F37" i="4"/>
  <c r="R37" i="4"/>
  <c r="E30" i="4"/>
  <c r="G30" i="4"/>
  <c r="H30" i="4"/>
  <c r="J30" i="4"/>
  <c r="K30" i="4"/>
  <c r="L30" i="4"/>
  <c r="M30" i="4"/>
  <c r="N30" i="4"/>
  <c r="O30" i="4"/>
  <c r="P30" i="4"/>
  <c r="P71" i="4" s="1"/>
  <c r="Q30" i="4"/>
  <c r="Q71" i="4" s="1"/>
  <c r="G88" i="4" s="1"/>
  <c r="D30" i="4"/>
  <c r="J22" i="4"/>
  <c r="K22" i="4"/>
  <c r="L22" i="4"/>
  <c r="M22" i="4"/>
  <c r="N22" i="4"/>
  <c r="O22" i="4"/>
  <c r="E26" i="4"/>
  <c r="G26" i="4"/>
  <c r="H26" i="4"/>
  <c r="J26" i="4"/>
  <c r="K26" i="4"/>
  <c r="L26" i="4"/>
  <c r="M26" i="4"/>
  <c r="N26" i="4"/>
  <c r="O26" i="4"/>
  <c r="D26" i="4"/>
  <c r="E18" i="4"/>
  <c r="E71" i="4" s="1"/>
  <c r="G18" i="4"/>
  <c r="H18" i="4"/>
  <c r="H71" i="4" s="1"/>
  <c r="J18" i="4"/>
  <c r="K18" i="4"/>
  <c r="L18" i="4"/>
  <c r="M18" i="4"/>
  <c r="N18" i="4"/>
  <c r="O18" i="4"/>
  <c r="D18" i="4"/>
  <c r="D71" i="4" s="1"/>
  <c r="R33" i="4"/>
  <c r="R34" i="4" s="1"/>
  <c r="R41" i="4"/>
  <c r="R70" i="4"/>
  <c r="I33" i="4"/>
  <c r="I34" i="4" s="1"/>
  <c r="F33" i="4"/>
  <c r="F34" i="4" s="1"/>
  <c r="F41" i="4"/>
  <c r="H96" i="4" l="1"/>
  <c r="H88" i="4"/>
  <c r="G90" i="4"/>
  <c r="V58" i="4"/>
  <c r="X58" i="4"/>
  <c r="S70" i="4"/>
  <c r="X70" i="4" s="1"/>
  <c r="R62" i="4"/>
  <c r="I58" i="4"/>
  <c r="F88" i="4"/>
  <c r="J71" i="4"/>
  <c r="G71" i="4"/>
  <c r="F76" i="4" s="1"/>
  <c r="L71" i="4"/>
  <c r="O71" i="4"/>
  <c r="M71" i="4"/>
  <c r="K71" i="4"/>
  <c r="N71" i="4"/>
  <c r="F77" i="4" s="1"/>
  <c r="F79" i="4"/>
  <c r="F83" i="4" s="1"/>
  <c r="R46" i="4"/>
  <c r="I54" i="4"/>
  <c r="R58" i="4"/>
  <c r="S66" i="4"/>
  <c r="F42" i="4"/>
  <c r="I42" i="4"/>
  <c r="R42" i="4"/>
  <c r="I38" i="4"/>
  <c r="R38" i="4"/>
  <c r="F38" i="4"/>
  <c r="I62" i="4"/>
  <c r="S61" i="4"/>
  <c r="F62" i="4"/>
  <c r="F58" i="4"/>
  <c r="S53" i="4"/>
  <c r="F54" i="4"/>
  <c r="I46" i="4"/>
  <c r="S45" i="4"/>
  <c r="S46" i="4" s="1"/>
  <c r="I50" i="4"/>
  <c r="R50" i="4"/>
  <c r="F50" i="4"/>
  <c r="S49" i="4"/>
  <c r="F46" i="4"/>
  <c r="S41" i="4"/>
  <c r="S37" i="4"/>
  <c r="S33" i="4"/>
  <c r="S34" i="4" s="1"/>
  <c r="R17" i="4"/>
  <c r="R21" i="4"/>
  <c r="R23" i="4"/>
  <c r="R25" i="4"/>
  <c r="R29" i="4"/>
  <c r="I21" i="4"/>
  <c r="I23" i="4"/>
  <c r="I25" i="4"/>
  <c r="I29" i="4"/>
  <c r="F21" i="4"/>
  <c r="F22" i="4" s="1"/>
  <c r="F25" i="4"/>
  <c r="F30" i="4"/>
  <c r="I17" i="4"/>
  <c r="I18" i="4" s="1"/>
  <c r="X34" i="4" l="1"/>
  <c r="V34" i="4"/>
  <c r="F90" i="4"/>
  <c r="E96" i="4"/>
  <c r="I88" i="4"/>
  <c r="H89" i="4"/>
  <c r="H85" i="4"/>
  <c r="H87" i="4"/>
  <c r="H86" i="4"/>
  <c r="H90" i="4"/>
  <c r="I96" i="4"/>
  <c r="V66" i="4"/>
  <c r="X66" i="4"/>
  <c r="S62" i="4"/>
  <c r="V46" i="4"/>
  <c r="X46" i="4"/>
  <c r="S38" i="4"/>
  <c r="X38" i="4" s="1"/>
  <c r="F94" i="4"/>
  <c r="S42" i="4"/>
  <c r="S54" i="4"/>
  <c r="R30" i="4"/>
  <c r="S50" i="4"/>
  <c r="R22" i="4"/>
  <c r="I30" i="4"/>
  <c r="I26" i="4"/>
  <c r="F26" i="4"/>
  <c r="R18" i="4"/>
  <c r="S23" i="4"/>
  <c r="S25" i="4"/>
  <c r="S29" i="4"/>
  <c r="S21" i="4"/>
  <c r="S22" i="4" s="1"/>
  <c r="F17" i="4"/>
  <c r="F18" i="4" s="1"/>
  <c r="X22" i="4" l="1"/>
  <c r="V22" i="4"/>
  <c r="V38" i="4"/>
  <c r="F96" i="4"/>
  <c r="I90" i="4"/>
  <c r="I85" i="4"/>
  <c r="F95" i="4"/>
  <c r="I87" i="4"/>
  <c r="I86" i="4"/>
  <c r="I89" i="4"/>
  <c r="V62" i="4"/>
  <c r="X62" i="4"/>
  <c r="V54" i="4"/>
  <c r="X54" i="4"/>
  <c r="V50" i="4"/>
  <c r="X50" i="4"/>
  <c r="I71" i="4"/>
  <c r="V42" i="4"/>
  <c r="X42" i="4"/>
  <c r="V70" i="4"/>
  <c r="F71" i="4"/>
  <c r="R71" i="4"/>
  <c r="S30" i="4"/>
  <c r="S17" i="4"/>
  <c r="S18" i="4" s="1"/>
  <c r="S26" i="4"/>
  <c r="S71" i="4" l="1"/>
  <c r="X18" i="4"/>
  <c r="L76" i="4"/>
  <c r="V26" i="4"/>
  <c r="X26" i="4"/>
  <c r="V30" i="4"/>
  <c r="X30" i="4"/>
  <c r="V18" i="4"/>
  <c r="V71" i="4" l="1"/>
  <c r="X71" i="4"/>
  <c r="L78" i="4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19" i="1"/>
  <c r="E33" i="1"/>
  <c r="R32" i="1"/>
  <c r="U32" i="1"/>
  <c r="R20" i="1"/>
  <c r="U20" i="1" s="1"/>
  <c r="R21" i="1"/>
  <c r="U21" i="1" s="1"/>
  <c r="R22" i="1"/>
  <c r="U22" i="1" s="1"/>
  <c r="R23" i="1"/>
  <c r="U23" i="1" s="1"/>
  <c r="R24" i="1"/>
  <c r="U24" i="1" s="1"/>
  <c r="R25" i="1"/>
  <c r="U25" i="1" s="1"/>
  <c r="R26" i="1"/>
  <c r="U26" i="1" s="1"/>
  <c r="R27" i="1"/>
  <c r="U27" i="1" s="1"/>
  <c r="R28" i="1"/>
  <c r="U28" i="1" s="1"/>
  <c r="R29" i="1"/>
  <c r="U29" i="1" s="1"/>
  <c r="R30" i="1"/>
  <c r="U30" i="1" s="1"/>
  <c r="R31" i="1"/>
  <c r="U31" i="1" s="1"/>
  <c r="F33" i="1"/>
  <c r="H33" i="1" l="1"/>
  <c r="J38" i="1" s="1"/>
  <c r="J40" i="1" s="1"/>
  <c r="R19" i="1"/>
  <c r="U19" i="1" s="1"/>
  <c r="N33" i="1"/>
  <c r="P33" i="1"/>
  <c r="E41" i="1" s="1"/>
  <c r="Q33" i="1"/>
  <c r="J33" i="1"/>
  <c r="K33" i="1"/>
  <c r="L33" i="1"/>
  <c r="M33" i="1"/>
  <c r="I33" i="1"/>
  <c r="O33" i="1"/>
  <c r="D33" i="1"/>
  <c r="G33" i="1"/>
  <c r="C33" i="1"/>
  <c r="E38" i="1" s="1"/>
  <c r="E40" i="1" l="1"/>
  <c r="E39" i="1"/>
  <c r="R33" i="1"/>
  <c r="U33" i="1" s="1"/>
</calcChain>
</file>

<file path=xl/sharedStrings.xml><?xml version="1.0" encoding="utf-8"?>
<sst xmlns="http://schemas.openxmlformats.org/spreadsheetml/2006/main" count="1217" uniqueCount="166">
  <si>
    <t>ЗАПРОС ПРЕДЛОЖЕНИЙ</t>
  </si>
  <si>
    <t>-</t>
  </si>
  <si>
    <t>ЭЛЕКТРОННЫЙ АУКЦИОН</t>
  </si>
  <si>
    <t>ЗАПРОС КОТИРОВОК</t>
  </si>
  <si>
    <t>ОТКРЫТЫЙ КОРНКУРС</t>
  </si>
  <si>
    <t>ЕДИНСТВЕННЫЙ ПОСТАВЩИК</t>
  </si>
  <si>
    <t>п. 6, 8, 9, 29 ч.1 ст.93</t>
  </si>
  <si>
    <t xml:space="preserve">   НМЦК</t>
  </si>
  <si>
    <t>(Тыс. руб.)</t>
  </si>
  <si>
    <t>Цена контракта (тыс. руб.)</t>
  </si>
  <si>
    <t>Экономия</t>
  </si>
  <si>
    <t>Цена контракта   (тыс. руб.)</t>
  </si>
  <si>
    <t>ВСЕГО КОНТРАКТОВ</t>
  </si>
  <si>
    <t>ВСЕГО  НМЦК</t>
  </si>
  <si>
    <t>ЕД ПОСТАВЩ</t>
  </si>
  <si>
    <t>КОНКУРЕНТНЫЕ</t>
  </si>
  <si>
    <t>ОБЩАЯ ЭКОНОМИЯ</t>
  </si>
  <si>
    <t>Общая экономия бюджетных средств            (тыс. руб.)</t>
  </si>
  <si>
    <t>Относительный объем экономии бюджетных средств      (%)</t>
  </si>
  <si>
    <t>ООЭ</t>
  </si>
  <si>
    <t>291 ШТУК</t>
  </si>
  <si>
    <t>227 ШТ</t>
  </si>
  <si>
    <t>64 ШТ</t>
  </si>
  <si>
    <t>итого</t>
  </si>
  <si>
    <t>Приложение 1 к Отчету</t>
  </si>
  <si>
    <t xml:space="preserve">в первом полугодии 2018 года </t>
  </si>
  <si>
    <t>Информация о закупках в разрезе городский и сельских поселений МО Приозерский муниципальный район</t>
  </si>
  <si>
    <t>Таблица 2</t>
  </si>
  <si>
    <t>№ п/п</t>
  </si>
  <si>
    <t>Способ размещения заказа</t>
  </si>
  <si>
    <t>Наименование поселения</t>
  </si>
  <si>
    <t xml:space="preserve">1. </t>
  </si>
  <si>
    <t>Громовское с/п</t>
  </si>
  <si>
    <t>2.</t>
  </si>
  <si>
    <t>Запорожское с/п</t>
  </si>
  <si>
    <t>Красноозерное с/п</t>
  </si>
  <si>
    <t>3.</t>
  </si>
  <si>
    <t xml:space="preserve">   НМЦК         (тыс. руб.)</t>
  </si>
  <si>
    <t xml:space="preserve">   НМЦК          (тыс. руб.)</t>
  </si>
  <si>
    <t>Экономия  (тыс. руб.)</t>
  </si>
  <si>
    <t>п.1, 6, 8, 9,16,22, 29 ч.1 ст.93</t>
  </si>
  <si>
    <t>Ларионовскоес/п</t>
  </si>
  <si>
    <t>4.</t>
  </si>
  <si>
    <t>Мельниковское с/п</t>
  </si>
  <si>
    <t>Мичуринское с/п</t>
  </si>
  <si>
    <t>5.</t>
  </si>
  <si>
    <t>6.</t>
  </si>
  <si>
    <t>Петровское с/п</t>
  </si>
  <si>
    <t>Плодовское с/п</t>
  </si>
  <si>
    <t>7.</t>
  </si>
  <si>
    <t>8.</t>
  </si>
  <si>
    <t>9.</t>
  </si>
  <si>
    <t>Раздольевское с/п</t>
  </si>
  <si>
    <t>10.</t>
  </si>
  <si>
    <t>Ромашкинское с/п</t>
  </si>
  <si>
    <t>11.</t>
  </si>
  <si>
    <t>Севастьяновское с/п</t>
  </si>
  <si>
    <t>12.</t>
  </si>
  <si>
    <t>Сосновское с/п</t>
  </si>
  <si>
    <t>Кузнечное г/п</t>
  </si>
  <si>
    <t>13.</t>
  </si>
  <si>
    <t>14.</t>
  </si>
  <si>
    <t>Приозерское г/п</t>
  </si>
  <si>
    <t>ВСЕГО</t>
  </si>
  <si>
    <t xml:space="preserve"> ШТУК</t>
  </si>
  <si>
    <t xml:space="preserve"> ШТ</t>
  </si>
  <si>
    <t>ЕД. ПОСТАВЩИК П.25</t>
  </si>
  <si>
    <t>ШТ</t>
  </si>
  <si>
    <t>ЭА</t>
  </si>
  <si>
    <t>ЗК</t>
  </si>
  <si>
    <t>КОНКУРС</t>
  </si>
  <si>
    <t>ЕД ПОСТАВЩИК</t>
  </si>
  <si>
    <t>ЕД ПОСТАВЩ П.25</t>
  </si>
  <si>
    <t>Заключены контракты  с победителями конкурсных процедур</t>
  </si>
  <si>
    <t>Заключены  контракты  с единственным поставщиком   (п.25 ст.93)</t>
  </si>
  <si>
    <t>подано</t>
  </si>
  <si>
    <t>допущено</t>
  </si>
  <si>
    <t>КОТИРОВКИ</t>
  </si>
  <si>
    <t xml:space="preserve">П. 25 </t>
  </si>
  <si>
    <t>общая</t>
  </si>
  <si>
    <t>конкурентн</t>
  </si>
  <si>
    <t>конкурентная</t>
  </si>
  <si>
    <t>контракты</t>
  </si>
  <si>
    <t>нмцк</t>
  </si>
  <si>
    <t>цена контракта</t>
  </si>
  <si>
    <t>экономия</t>
  </si>
  <si>
    <t>АУКЦИОН</t>
  </si>
  <si>
    <t>ЕД.ПОСТАВЩИК</t>
  </si>
  <si>
    <t>ЕДИНСТВЕННЫЙ ПОСТАВЩИК Ч.25 СТ.93</t>
  </si>
  <si>
    <t>Конкурс</t>
  </si>
  <si>
    <t xml:space="preserve">ВСЕГО: </t>
  </si>
  <si>
    <t>З ПРЕДЛОЖ</t>
  </si>
  <si>
    <t>п.25 ЭА</t>
  </si>
  <si>
    <t>П.25 ЗК</t>
  </si>
  <si>
    <t>П. 25 КОНКУРС</t>
  </si>
  <si>
    <t>Без размещения извещений</t>
  </si>
  <si>
    <t>ЕД. ПОСТАВЩИК П.25.1</t>
  </si>
  <si>
    <t>ЕД. ПОСТАВЩИК П.25.2</t>
  </si>
  <si>
    <t>ЕД. ПОСТАВЩИК Б/И</t>
  </si>
  <si>
    <t>ЕД ПОСТАВЩ П.25.1</t>
  </si>
  <si>
    <t>ЕД ПОСТАВЩ П.25.2</t>
  </si>
  <si>
    <t>НМЦК</t>
  </si>
  <si>
    <t>КОНТРАК</t>
  </si>
  <si>
    <t>НЕ СОСТОЯЛИСЬ</t>
  </si>
  <si>
    <t xml:space="preserve">НЕТ ЗАЯВОК </t>
  </si>
  <si>
    <t>ОТКАЗ ОТ КОНТ</t>
  </si>
  <si>
    <t>П.25.1</t>
  </si>
  <si>
    <t>П.25.2</t>
  </si>
  <si>
    <t>пункт 25</t>
  </si>
  <si>
    <t>П. 1</t>
  </si>
  <si>
    <t>СУММА</t>
  </si>
  <si>
    <t>П.6</t>
  </si>
  <si>
    <t>П.8</t>
  </si>
  <si>
    <t>П.29</t>
  </si>
  <si>
    <t>КОЛ-ВО</t>
  </si>
  <si>
    <t>п.9</t>
  </si>
  <si>
    <t>п.22</t>
  </si>
  <si>
    <t>П.1</t>
  </si>
  <si>
    <t>НЭП</t>
  </si>
  <si>
    <t>АГЗ РТ</t>
  </si>
  <si>
    <t>СБЕРБАНК АСТ</t>
  </si>
  <si>
    <t>АО РАД</t>
  </si>
  <si>
    <t>РТР-ТЕНДЕР</t>
  </si>
  <si>
    <t>конкурентные</t>
  </si>
  <si>
    <t>ед поставщик</t>
  </si>
  <si>
    <t>КОНКУРЕНТН</t>
  </si>
  <si>
    <t>РАЗНИЦА</t>
  </si>
  <si>
    <t>ЗА 2019 ГОД</t>
  </si>
  <si>
    <t>Таблица 1</t>
  </si>
  <si>
    <t>п.1, 6, 8, 9,22, 29 ч.1 ст.93</t>
  </si>
  <si>
    <t>49 00,00</t>
  </si>
  <si>
    <t>300 00,00</t>
  </si>
  <si>
    <t>ЗА 2020 ГОД</t>
  </si>
  <si>
    <t xml:space="preserve">ЕД. ПОСТАВЩИК </t>
  </si>
  <si>
    <t>РАЗНИЦА ЭКОНОМИЯ</t>
  </si>
  <si>
    <t>конкурентный</t>
  </si>
  <si>
    <t>п.23</t>
  </si>
  <si>
    <t>разница</t>
  </si>
  <si>
    <t>ОТМЕНЕННЫЕ</t>
  </si>
  <si>
    <t>п.25 ЗП</t>
  </si>
  <si>
    <t>197 ШТ</t>
  </si>
  <si>
    <t>СОСТОЯЛИСЬ</t>
  </si>
  <si>
    <t>ПУНКТ 25</t>
  </si>
  <si>
    <t>П.25</t>
  </si>
  <si>
    <t>ОТМЕНЕН</t>
  </si>
  <si>
    <t>контрактов</t>
  </si>
  <si>
    <t>когтрактов</t>
  </si>
  <si>
    <t>извещ</t>
  </si>
  <si>
    <t>контракт</t>
  </si>
  <si>
    <t>извещений</t>
  </si>
  <si>
    <t>ЭЛЕКТРОННЫЙ КОНКУРС</t>
  </si>
  <si>
    <t>ЗА 2022 ГОД</t>
  </si>
  <si>
    <t>Информация о закупках в разрезе городский и сельских поселений Приозерского муниципального района</t>
  </si>
  <si>
    <t>МО Громовское с/п</t>
  </si>
  <si>
    <t>МО Запорожское с/п</t>
  </si>
  <si>
    <t>МО Красноозерное с/п</t>
  </si>
  <si>
    <t>МО Ларионовскоес/п</t>
  </si>
  <si>
    <t>Кузнечнинское  г/п</t>
  </si>
  <si>
    <t>МО Сосновское с/п</t>
  </si>
  <si>
    <t>МО Севастьяновское с/п</t>
  </si>
  <si>
    <t>МО Ромашкинское с/п</t>
  </si>
  <si>
    <t>МО Плодовское с/п</t>
  </si>
  <si>
    <t>МО Петровское с/п</t>
  </si>
  <si>
    <t>МО Мичуринское с/п</t>
  </si>
  <si>
    <t>МО Мельниковское с/п</t>
  </si>
  <si>
    <t xml:space="preserve">            Приложение 2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</si>
</sst>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9"/>
      <color rgb="FF76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0"/>
      <color rgb="FF76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7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8"/>
      <color rgb="FF26262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9"/>
      <color rgb="FF7030A0"/>
      <name val="Times New Roman"/>
      <family val="1"/>
      <charset val="204"/>
    </font>
    <font>
      <b/>
      <sz val="7"/>
      <name val="Arial"/>
      <family val="2"/>
      <charset val="204"/>
    </font>
    <font>
      <b/>
      <sz val="9"/>
      <color theme="6" tint="-0.249977111117893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7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2">
    <xf numFmtId="0" fontId="0" fillId="0" borderId="0" xfId="0"/>
    <xf numFmtId="0" fontId="6" fillId="0" borderId="5" xfId="0" applyFont="1" applyBorder="1" applyAlignment="1">
      <alignment horizontal="center" vertical="center" wrapText="1"/>
    </xf>
    <xf numFmtId="4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wrapText="1"/>
    </xf>
    <xf numFmtId="4" fontId="0" fillId="2" borderId="0" xfId="0" applyNumberFormat="1" applyFill="1" applyBorder="1"/>
    <xf numFmtId="4" fontId="4" fillId="0" borderId="0" xfId="0" applyNumberFormat="1" applyFont="1"/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165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16" xfId="0" applyBorder="1"/>
    <xf numFmtId="0" fontId="0" fillId="0" borderId="15" xfId="0" applyBorder="1"/>
    <xf numFmtId="0" fontId="8" fillId="0" borderId="15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13" fillId="0" borderId="1" xfId="0" applyNumberFormat="1" applyFont="1" applyBorder="1"/>
    <xf numFmtId="4" fontId="13" fillId="0" borderId="2" xfId="0" applyNumberFormat="1" applyFont="1" applyBorder="1"/>
    <xf numFmtId="165" fontId="0" fillId="0" borderId="0" xfId="0" applyNumberFormat="1"/>
    <xf numFmtId="2" fontId="7" fillId="0" borderId="4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165" fontId="12" fillId="0" borderId="16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0" fillId="0" borderId="19" xfId="0" applyBorder="1"/>
    <xf numFmtId="165" fontId="12" fillId="0" borderId="4" xfId="0" applyNumberFormat="1" applyFont="1" applyBorder="1" applyAlignment="1">
      <alignment horizontal="center" vertical="center" wrapText="1"/>
    </xf>
    <xf numFmtId="0" fontId="0" fillId="0" borderId="6" xfId="0" applyBorder="1"/>
    <xf numFmtId="0" fontId="15" fillId="0" borderId="0" xfId="0" applyFont="1"/>
    <xf numFmtId="0" fontId="6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10" fillId="0" borderId="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6" fillId="0" borderId="8" xfId="0" applyFont="1" applyBorder="1"/>
    <xf numFmtId="0" fontId="16" fillId="0" borderId="10" xfId="0" applyFont="1" applyBorder="1"/>
    <xf numFmtId="166" fontId="8" fillId="0" borderId="10" xfId="0" applyNumberFormat="1" applyFont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166" fontId="19" fillId="0" borderId="16" xfId="0" applyNumberFormat="1" applyFont="1" applyBorder="1" applyAlignment="1">
      <alignment horizontal="center" vertical="center" wrapText="1"/>
    </xf>
    <xf numFmtId="166" fontId="19" fillId="0" borderId="5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4" fillId="0" borderId="0" xfId="0" applyNumberFormat="1" applyFont="1"/>
    <xf numFmtId="164" fontId="0" fillId="0" borderId="0" xfId="0" applyNumberFormat="1"/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4" fillId="3" borderId="0" xfId="0" applyNumberFormat="1" applyFont="1" applyFill="1"/>
    <xf numFmtId="0" fontId="16" fillId="0" borderId="11" xfId="0" applyFont="1" applyBorder="1"/>
    <xf numFmtId="0" fontId="16" fillId="0" borderId="12" xfId="0" applyFont="1" applyBorder="1"/>
    <xf numFmtId="166" fontId="8" fillId="0" borderId="6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11" xfId="0" applyBorder="1"/>
    <xf numFmtId="166" fontId="8" fillId="0" borderId="17" xfId="0" applyNumberFormat="1" applyFont="1" applyBorder="1" applyAlignment="1">
      <alignment horizontal="center" vertical="center" wrapText="1"/>
    </xf>
    <xf numFmtId="166" fontId="19" fillId="0" borderId="17" xfId="0" applyNumberFormat="1" applyFont="1" applyBorder="1" applyAlignment="1">
      <alignment horizontal="center" vertical="center" wrapText="1"/>
    </xf>
    <xf numFmtId="0" fontId="0" fillId="0" borderId="18" xfId="0" applyBorder="1"/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5" fontId="12" fillId="0" borderId="6" xfId="0" applyNumberFormat="1" applyFont="1" applyBorder="1" applyAlignment="1">
      <alignment horizontal="center" vertical="center" wrapText="1"/>
    </xf>
    <xf numFmtId="10" fontId="12" fillId="0" borderId="6" xfId="0" applyNumberFormat="1" applyFont="1" applyBorder="1" applyAlignment="1">
      <alignment horizontal="center" vertical="center" wrapText="1"/>
    </xf>
    <xf numFmtId="165" fontId="20" fillId="0" borderId="7" xfId="0" applyNumberFormat="1" applyFont="1" applyBorder="1" applyAlignment="1">
      <alignment horizontal="center" vertical="center" wrapText="1"/>
    </xf>
    <xf numFmtId="0" fontId="22" fillId="0" borderId="18" xfId="0" applyFont="1" applyBorder="1"/>
    <xf numFmtId="0" fontId="23" fillId="0" borderId="6" xfId="0" applyFont="1" applyBorder="1"/>
    <xf numFmtId="164" fontId="8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64" fontId="0" fillId="3" borderId="0" xfId="0" applyNumberFormat="1" applyFill="1"/>
    <xf numFmtId="10" fontId="0" fillId="0" borderId="0" xfId="0" applyNumberFormat="1"/>
    <xf numFmtId="166" fontId="19" fillId="0" borderId="8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6" fontId="7" fillId="0" borderId="18" xfId="0" applyNumberFormat="1" applyFont="1" applyBorder="1" applyAlignment="1">
      <alignment horizontal="center" vertical="center" wrapText="1"/>
    </xf>
    <xf numFmtId="166" fontId="19" fillId="0" borderId="20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 wrapText="1"/>
    </xf>
    <xf numFmtId="166" fontId="19" fillId="0" borderId="21" xfId="0" applyNumberFormat="1" applyFont="1" applyBorder="1" applyAlignment="1">
      <alignment horizontal="center" vertical="center" wrapText="1"/>
    </xf>
    <xf numFmtId="166" fontId="19" fillId="0" borderId="7" xfId="0" applyNumberFormat="1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25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4" borderId="16" xfId="0" applyFill="1" applyBorder="1"/>
    <xf numFmtId="0" fontId="0" fillId="4" borderId="10" xfId="0" applyFill="1" applyBorder="1"/>
    <xf numFmtId="0" fontId="0" fillId="4" borderId="15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7" xfId="0" applyFill="1" applyBorder="1"/>
    <xf numFmtId="0" fontId="8" fillId="4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1" fillId="4" borderId="17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0" fillId="4" borderId="4" xfId="0" applyFill="1" applyBorder="1"/>
    <xf numFmtId="0" fontId="4" fillId="4" borderId="19" xfId="0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12" fillId="4" borderId="7" xfId="0" applyNumberFormat="1" applyFont="1" applyFill="1" applyBorder="1" applyAlignment="1">
      <alignment horizontal="center" vertical="center" wrapText="1"/>
    </xf>
    <xf numFmtId="0" fontId="0" fillId="4" borderId="5" xfId="0" applyFill="1" applyBorder="1"/>
    <xf numFmtId="0" fontId="22" fillId="4" borderId="18" xfId="0" applyFont="1" applyFill="1" applyBorder="1"/>
    <xf numFmtId="0" fontId="23" fillId="4" borderId="6" xfId="0" applyFont="1" applyFill="1" applyBorder="1"/>
    <xf numFmtId="0" fontId="16" fillId="4" borderId="8" xfId="0" applyFont="1" applyFill="1" applyBorder="1"/>
    <xf numFmtId="0" fontId="16" fillId="4" borderId="10" xfId="0" applyFont="1" applyFill="1" applyBorder="1"/>
    <xf numFmtId="0" fontId="16" fillId="4" borderId="11" xfId="0" applyFont="1" applyFill="1" applyBorder="1"/>
    <xf numFmtId="0" fontId="16" fillId="4" borderId="12" xfId="0" applyFont="1" applyFill="1" applyBorder="1"/>
    <xf numFmtId="2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26" fillId="2" borderId="0" xfId="0" applyFont="1" applyFill="1" applyBorder="1"/>
    <xf numFmtId="4" fontId="13" fillId="2" borderId="0" xfId="0" applyNumberFormat="1" applyFont="1" applyFill="1" applyBorder="1"/>
    <xf numFmtId="4" fontId="27" fillId="2" borderId="0" xfId="0" applyNumberFormat="1" applyFont="1" applyFill="1" applyBorder="1"/>
    <xf numFmtId="165" fontId="4" fillId="2" borderId="0" xfId="0" applyNumberFormat="1" applyFont="1" applyFill="1" applyBorder="1"/>
    <xf numFmtId="4" fontId="26" fillId="2" borderId="0" xfId="0" applyNumberFormat="1" applyFont="1" applyFill="1" applyBorder="1"/>
    <xf numFmtId="165" fontId="28" fillId="2" borderId="0" xfId="0" applyNumberFormat="1" applyFont="1" applyFill="1" applyBorder="1"/>
    <xf numFmtId="165" fontId="27" fillId="2" borderId="0" xfId="0" applyNumberFormat="1" applyFont="1" applyFill="1" applyBorder="1"/>
    <xf numFmtId="0" fontId="29" fillId="0" borderId="1" xfId="0" applyFont="1" applyBorder="1"/>
    <xf numFmtId="0" fontId="30" fillId="0" borderId="2" xfId="0" applyFont="1" applyBorder="1" applyAlignment="1">
      <alignment horizontal="center"/>
    </xf>
    <xf numFmtId="0" fontId="30" fillId="0" borderId="2" xfId="0" applyFont="1" applyBorder="1"/>
    <xf numFmtId="0" fontId="30" fillId="0" borderId="3" xfId="0" applyFont="1" applyBorder="1" applyAlignment="1">
      <alignment horizontal="center"/>
    </xf>
    <xf numFmtId="0" fontId="30" fillId="0" borderId="4" xfId="0" applyFont="1" applyBorder="1"/>
    <xf numFmtId="4" fontId="13" fillId="0" borderId="23" xfId="0" applyNumberFormat="1" applyFont="1" applyBorder="1"/>
    <xf numFmtId="165" fontId="13" fillId="0" borderId="23" xfId="0" applyNumberFormat="1" applyFont="1" applyBorder="1"/>
    <xf numFmtId="4" fontId="13" fillId="0" borderId="22" xfId="0" applyNumberFormat="1" applyFont="1" applyBorder="1"/>
    <xf numFmtId="4" fontId="13" fillId="0" borderId="25" xfId="0" applyNumberFormat="1" applyFont="1" applyBorder="1"/>
    <xf numFmtId="0" fontId="5" fillId="0" borderId="0" xfId="0" applyFont="1"/>
    <xf numFmtId="0" fontId="13" fillId="8" borderId="0" xfId="0" applyFont="1" applyFill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19" xfId="0" applyFont="1" applyBorder="1" applyAlignment="1">
      <alignment horizontal="center"/>
    </xf>
    <xf numFmtId="4" fontId="13" fillId="0" borderId="4" xfId="0" applyNumberFormat="1" applyFont="1" applyBorder="1"/>
    <xf numFmtId="10" fontId="13" fillId="0" borderId="4" xfId="0" applyNumberFormat="1" applyFont="1" applyBorder="1"/>
    <xf numFmtId="165" fontId="13" fillId="0" borderId="4" xfId="0" applyNumberFormat="1" applyFont="1" applyBorder="1"/>
    <xf numFmtId="0" fontId="26" fillId="5" borderId="23" xfId="0" applyFont="1" applyFill="1" applyBorder="1" applyAlignment="1">
      <alignment horizontal="center" wrapText="1"/>
    </xf>
    <xf numFmtId="0" fontId="31" fillId="6" borderId="22" xfId="0" applyFont="1" applyFill="1" applyBorder="1" applyAlignment="1">
      <alignment horizontal="center" wrapText="1"/>
    </xf>
    <xf numFmtId="0" fontId="32" fillId="7" borderId="24" xfId="0" applyFont="1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horizontal="center" wrapText="1"/>
    </xf>
    <xf numFmtId="0" fontId="27" fillId="0" borderId="0" xfId="0" applyFont="1"/>
    <xf numFmtId="0" fontId="34" fillId="0" borderId="0" xfId="0" applyFont="1"/>
    <xf numFmtId="0" fontId="26" fillId="0" borderId="4" xfId="0" applyFont="1" applyBorder="1"/>
    <xf numFmtId="0" fontId="4" fillId="2" borderId="0" xfId="0" applyFont="1" applyFill="1"/>
    <xf numFmtId="4" fontId="22" fillId="0" borderId="23" xfId="0" applyNumberFormat="1" applyFont="1" applyBorder="1"/>
    <xf numFmtId="0" fontId="26" fillId="0" borderId="1" xfId="0" applyFont="1" applyBorder="1"/>
    <xf numFmtId="165" fontId="13" fillId="0" borderId="26" xfId="0" applyNumberFormat="1" applyFont="1" applyBorder="1"/>
    <xf numFmtId="165" fontId="13" fillId="0" borderId="3" xfId="0" applyNumberFormat="1" applyFont="1" applyBorder="1"/>
    <xf numFmtId="0" fontId="22" fillId="4" borderId="1" xfId="0" applyFont="1" applyFill="1" applyBorder="1"/>
    <xf numFmtId="165" fontId="22" fillId="4" borderId="4" xfId="0" applyNumberFormat="1" applyFont="1" applyFill="1" applyBorder="1"/>
    <xf numFmtId="10" fontId="12" fillId="0" borderId="4" xfId="0" applyNumberFormat="1" applyFont="1" applyBorder="1" applyAlignment="1">
      <alignment horizontal="center" vertical="center" wrapText="1"/>
    </xf>
    <xf numFmtId="4" fontId="26" fillId="3" borderId="22" xfId="0" applyNumberFormat="1" applyFont="1" applyFill="1" applyBorder="1"/>
    <xf numFmtId="165" fontId="26" fillId="2" borderId="0" xfId="0" applyNumberFormat="1" applyFont="1" applyFill="1" applyBorder="1"/>
    <xf numFmtId="10" fontId="12" fillId="0" borderId="16" xfId="0" applyNumberFormat="1" applyFont="1" applyBorder="1" applyAlignment="1">
      <alignment horizontal="center" vertical="center" wrapText="1"/>
    </xf>
    <xf numFmtId="164" fontId="22" fillId="3" borderId="0" xfId="0" applyNumberFormat="1" applyFont="1" applyFill="1"/>
    <xf numFmtId="164" fontId="13" fillId="0" borderId="0" xfId="0" applyNumberFormat="1" applyFont="1"/>
    <xf numFmtId="164" fontId="13" fillId="3" borderId="0" xfId="0" applyNumberFormat="1" applyFont="1" applyFill="1"/>
    <xf numFmtId="4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horizontal="right"/>
    </xf>
    <xf numFmtId="164" fontId="26" fillId="0" borderId="0" xfId="0" applyNumberFormat="1" applyFont="1"/>
    <xf numFmtId="164" fontId="35" fillId="0" borderId="0" xfId="0" applyNumberFormat="1" applyFont="1"/>
    <xf numFmtId="0" fontId="35" fillId="0" borderId="0" xfId="0" applyFont="1"/>
    <xf numFmtId="164" fontId="34" fillId="0" borderId="0" xfId="0" applyNumberFormat="1" applyFont="1"/>
    <xf numFmtId="4" fontId="35" fillId="0" borderId="0" xfId="0" applyNumberFormat="1" applyFont="1"/>
    <xf numFmtId="164" fontId="36" fillId="0" borderId="0" xfId="0" applyNumberFormat="1" applyFont="1"/>
    <xf numFmtId="4" fontId="34" fillId="0" borderId="0" xfId="0" applyNumberFormat="1" applyFont="1"/>
    <xf numFmtId="4" fontId="37" fillId="0" borderId="0" xfId="0" applyNumberFormat="1" applyFont="1"/>
    <xf numFmtId="4" fontId="26" fillId="0" borderId="23" xfId="0" applyNumberFormat="1" applyFont="1" applyBorder="1"/>
    <xf numFmtId="4" fontId="30" fillId="0" borderId="22" xfId="0" applyNumberFormat="1" applyFont="1" applyBorder="1"/>
    <xf numFmtId="4" fontId="30" fillId="3" borderId="22" xfId="0" applyNumberFormat="1" applyFont="1" applyFill="1" applyBorder="1"/>
    <xf numFmtId="4" fontId="30" fillId="0" borderId="4" xfId="0" applyNumberFormat="1" applyFont="1" applyBorder="1"/>
    <xf numFmtId="4" fontId="30" fillId="4" borderId="4" xfId="0" applyNumberFormat="1" applyFont="1" applyFill="1" applyBorder="1"/>
    <xf numFmtId="4" fontId="3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166" fontId="0" fillId="0" borderId="0" xfId="0" applyNumberFormat="1"/>
    <xf numFmtId="164" fontId="13" fillId="0" borderId="16" xfId="0" applyNumberFormat="1" applyFont="1" applyBorder="1"/>
    <xf numFmtId="164" fontId="13" fillId="0" borderId="5" xfId="0" applyNumberFormat="1" applyFont="1" applyBorder="1"/>
    <xf numFmtId="4" fontId="30" fillId="3" borderId="0" xfId="0" applyNumberFormat="1" applyFont="1" applyFill="1"/>
    <xf numFmtId="0" fontId="26" fillId="0" borderId="0" xfId="0" applyFont="1" applyAlignment="1">
      <alignment horizontal="center" wrapText="1"/>
    </xf>
    <xf numFmtId="164" fontId="13" fillId="3" borderId="6" xfId="0" applyNumberFormat="1" applyFont="1" applyFill="1" applyBorder="1"/>
    <xf numFmtId="164" fontId="13" fillId="3" borderId="4" xfId="0" applyNumberFormat="1" applyFont="1" applyFill="1" applyBorder="1"/>
    <xf numFmtId="164" fontId="13" fillId="0" borderId="27" xfId="0" applyNumberFormat="1" applyFont="1" applyBorder="1"/>
    <xf numFmtId="4" fontId="13" fillId="0" borderId="29" xfId="0" applyNumberFormat="1" applyFont="1" applyBorder="1"/>
    <xf numFmtId="164" fontId="38" fillId="0" borderId="31" xfId="0" applyNumberFormat="1" applyFont="1" applyBorder="1"/>
    <xf numFmtId="4" fontId="30" fillId="0" borderId="23" xfId="0" applyNumberFormat="1" applyFont="1" applyBorder="1"/>
    <xf numFmtId="4" fontId="30" fillId="0" borderId="2" xfId="0" applyNumberFormat="1" applyFont="1" applyBorder="1"/>
    <xf numFmtId="4" fontId="30" fillId="0" borderId="26" xfId="0" applyNumberFormat="1" applyFont="1" applyBorder="1"/>
    <xf numFmtId="0" fontId="4" fillId="3" borderId="6" xfId="0" applyFont="1" applyFill="1" applyBorder="1"/>
    <xf numFmtId="0" fontId="4" fillId="0" borderId="8" xfId="0" applyFont="1" applyBorder="1"/>
    <xf numFmtId="0" fontId="0" fillId="0" borderId="9" xfId="0" applyBorder="1"/>
    <xf numFmtId="0" fontId="4" fillId="0" borderId="11" xfId="0" applyFont="1" applyBorder="1"/>
    <xf numFmtId="4" fontId="22" fillId="0" borderId="32" xfId="0" applyNumberFormat="1" applyFont="1" applyBorder="1"/>
    <xf numFmtId="4" fontId="26" fillId="0" borderId="33" xfId="0" applyNumberFormat="1" applyFont="1" applyBorder="1"/>
    <xf numFmtId="4" fontId="22" fillId="0" borderId="35" xfId="0" applyNumberFormat="1" applyFont="1" applyBorder="1"/>
    <xf numFmtId="0" fontId="4" fillId="0" borderId="12" xfId="0" applyFont="1" applyBorder="1"/>
    <xf numFmtId="0" fontId="31" fillId="6" borderId="24" xfId="0" applyFont="1" applyFill="1" applyBorder="1" applyAlignment="1">
      <alignment horizontal="center" wrapText="1"/>
    </xf>
    <xf numFmtId="4" fontId="39" fillId="3" borderId="34" xfId="0" applyNumberFormat="1" applyFont="1" applyFill="1" applyBorder="1"/>
    <xf numFmtId="4" fontId="26" fillId="3" borderId="6" xfId="0" applyNumberFormat="1" applyFont="1" applyFill="1" applyBorder="1"/>
    <xf numFmtId="164" fontId="4" fillId="2" borderId="0" xfId="0" applyNumberFormat="1" applyFont="1" applyFill="1"/>
    <xf numFmtId="0" fontId="40" fillId="0" borderId="4" xfId="0" applyFont="1" applyBorder="1"/>
    <xf numFmtId="164" fontId="40" fillId="0" borderId="6" xfId="0" applyNumberFormat="1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0" borderId="0" xfId="0" applyFont="1"/>
    <xf numFmtId="4" fontId="26" fillId="2" borderId="22" xfId="0" applyNumberFormat="1" applyFont="1" applyFill="1" applyBorder="1"/>
    <xf numFmtId="4" fontId="34" fillId="2" borderId="22" xfId="0" applyNumberFormat="1" applyFont="1" applyFill="1" applyBorder="1"/>
    <xf numFmtId="0" fontId="4" fillId="0" borderId="0" xfId="0" applyFont="1" applyBorder="1"/>
    <xf numFmtId="4" fontId="34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0" fontId="4" fillId="2" borderId="29" xfId="0" applyFont="1" applyFill="1" applyBorder="1"/>
    <xf numFmtId="0" fontId="4" fillId="2" borderId="29" xfId="0" applyFont="1" applyFill="1" applyBorder="1" applyAlignment="1">
      <alignment horizontal="left"/>
    </xf>
    <xf numFmtId="0" fontId="0" fillId="2" borderId="29" xfId="0" applyFill="1" applyBorder="1"/>
    <xf numFmtId="165" fontId="4" fillId="2" borderId="31" xfId="0" applyNumberFormat="1" applyFont="1" applyFill="1" applyBorder="1"/>
    <xf numFmtId="0" fontId="34" fillId="0" borderId="30" xfId="0" applyFont="1" applyBorder="1"/>
    <xf numFmtId="4" fontId="41" fillId="2" borderId="22" xfId="0" applyNumberFormat="1" applyFont="1" applyFill="1" applyBorder="1"/>
    <xf numFmtId="0" fontId="41" fillId="0" borderId="30" xfId="0" applyFont="1" applyBorder="1"/>
    <xf numFmtId="0" fontId="4" fillId="2" borderId="27" xfId="0" applyFont="1" applyFill="1" applyBorder="1"/>
    <xf numFmtId="0" fontId="4" fillId="0" borderId="37" xfId="0" applyFont="1" applyBorder="1"/>
    <xf numFmtId="0" fontId="4" fillId="0" borderId="28" xfId="0" applyFont="1" applyBorder="1"/>
    <xf numFmtId="0" fontId="33" fillId="8" borderId="33" xfId="0" applyFont="1" applyFill="1" applyBorder="1" applyAlignment="1">
      <alignment horizontal="center" wrapText="1"/>
    </xf>
    <xf numFmtId="4" fontId="13" fillId="0" borderId="26" xfId="0" applyNumberFormat="1" applyFont="1" applyBorder="1"/>
    <xf numFmtId="165" fontId="13" fillId="0" borderId="38" xfId="0" applyNumberFormat="1" applyFont="1" applyBorder="1"/>
    <xf numFmtId="0" fontId="26" fillId="0" borderId="0" xfId="0" applyFont="1" applyBorder="1"/>
    <xf numFmtId="4" fontId="30" fillId="0" borderId="0" xfId="0" applyNumberFormat="1" applyFont="1" applyBorder="1"/>
    <xf numFmtId="165" fontId="13" fillId="0" borderId="0" xfId="0" applyNumberFormat="1" applyFont="1" applyBorder="1"/>
    <xf numFmtId="4" fontId="30" fillId="3" borderId="0" xfId="0" applyNumberFormat="1" applyFont="1" applyFill="1" applyBorder="1"/>
    <xf numFmtId="4" fontId="26" fillId="3" borderId="0" xfId="0" applyNumberFormat="1" applyFont="1" applyFill="1" applyBorder="1"/>
    <xf numFmtId="0" fontId="40" fillId="2" borderId="29" xfId="0" applyFont="1" applyFill="1" applyBorder="1"/>
    <xf numFmtId="4" fontId="42" fillId="2" borderId="22" xfId="0" applyNumberFormat="1" applyFont="1" applyFill="1" applyBorder="1"/>
    <xf numFmtId="0" fontId="42" fillId="0" borderId="30" xfId="0" applyFont="1" applyBorder="1"/>
    <xf numFmtId="4" fontId="23" fillId="2" borderId="22" xfId="0" applyNumberFormat="1" applyFont="1" applyFill="1" applyBorder="1"/>
    <xf numFmtId="0" fontId="23" fillId="0" borderId="30" xfId="0" applyFont="1" applyBorder="1"/>
    <xf numFmtId="4" fontId="43" fillId="2" borderId="22" xfId="0" applyNumberFormat="1" applyFont="1" applyFill="1" applyBorder="1"/>
    <xf numFmtId="164" fontId="37" fillId="0" borderId="0" xfId="0" applyNumberFormat="1" applyFont="1"/>
    <xf numFmtId="164" fontId="44" fillId="0" borderId="29" xfId="0" applyNumberFormat="1" applyFont="1" applyBorder="1"/>
    <xf numFmtId="4" fontId="38" fillId="0" borderId="29" xfId="0" applyNumberFormat="1" applyFont="1" applyBorder="1"/>
    <xf numFmtId="4" fontId="39" fillId="0" borderId="29" xfId="0" applyNumberFormat="1" applyFont="1" applyBorder="1"/>
    <xf numFmtId="4" fontId="30" fillId="0" borderId="0" xfId="0" applyNumberFormat="1" applyFont="1"/>
    <xf numFmtId="164" fontId="8" fillId="0" borderId="4" xfId="0" applyNumberFormat="1" applyFont="1" applyBorder="1" applyAlignment="1">
      <alignment horizontal="center" vertical="center" wrapText="1"/>
    </xf>
    <xf numFmtId="166" fontId="45" fillId="3" borderId="17" xfId="0" applyNumberFormat="1" applyFont="1" applyFill="1" applyBorder="1" applyAlignment="1">
      <alignment horizontal="center" vertical="center" wrapText="1"/>
    </xf>
    <xf numFmtId="164" fontId="45" fillId="3" borderId="17" xfId="0" applyNumberFormat="1" applyFont="1" applyFill="1" applyBorder="1" applyAlignment="1">
      <alignment horizontal="center" vertical="center" wrapText="1"/>
    </xf>
    <xf numFmtId="166" fontId="19" fillId="3" borderId="17" xfId="0" applyNumberFormat="1" applyFont="1" applyFill="1" applyBorder="1" applyAlignment="1">
      <alignment horizontal="center" vertical="center" wrapText="1"/>
    </xf>
    <xf numFmtId="164" fontId="19" fillId="3" borderId="17" xfId="0" applyNumberFormat="1" applyFont="1" applyFill="1" applyBorder="1" applyAlignment="1">
      <alignment horizontal="center" vertical="center" wrapText="1"/>
    </xf>
    <xf numFmtId="4" fontId="26" fillId="0" borderId="0" xfId="0" applyNumberFormat="1" applyFont="1"/>
    <xf numFmtId="4" fontId="46" fillId="2" borderId="22" xfId="0" applyNumberFormat="1" applyFont="1" applyFill="1" applyBorder="1"/>
    <xf numFmtId="4" fontId="22" fillId="3" borderId="36" xfId="0" applyNumberFormat="1" applyFont="1" applyFill="1" applyBorder="1"/>
    <xf numFmtId="0" fontId="22" fillId="3" borderId="36" xfId="0" applyNumberFormat="1" applyFont="1" applyFill="1" applyBorder="1"/>
    <xf numFmtId="0" fontId="34" fillId="2" borderId="22" xfId="0" applyNumberFormat="1" applyFont="1" applyFill="1" applyBorder="1"/>
    <xf numFmtId="0" fontId="4" fillId="0" borderId="27" xfId="0" applyFont="1" applyBorder="1"/>
    <xf numFmtId="4" fontId="4" fillId="0" borderId="37" xfId="0" applyNumberFormat="1" applyFont="1" applyBorder="1"/>
    <xf numFmtId="4" fontId="4" fillId="0" borderId="28" xfId="0" applyNumberFormat="1" applyFont="1" applyBorder="1"/>
    <xf numFmtId="0" fontId="4" fillId="0" borderId="29" xfId="0" applyFont="1" applyBorder="1"/>
    <xf numFmtId="4" fontId="4" fillId="0" borderId="22" xfId="0" applyNumberFormat="1" applyFont="1" applyBorder="1"/>
    <xf numFmtId="0" fontId="4" fillId="0" borderId="31" xfId="0" applyFont="1" applyBorder="1"/>
    <xf numFmtId="4" fontId="4" fillId="0" borderId="36" xfId="0" applyNumberFormat="1" applyFont="1" applyBorder="1"/>
    <xf numFmtId="0" fontId="4" fillId="0" borderId="36" xfId="0" applyNumberFormat="1" applyFont="1" applyBorder="1"/>
    <xf numFmtId="0" fontId="4" fillId="0" borderId="37" xfId="0" applyNumberFormat="1" applyFont="1" applyBorder="1"/>
    <xf numFmtId="0" fontId="4" fillId="0" borderId="22" xfId="0" applyNumberFormat="1" applyFont="1" applyBorder="1"/>
    <xf numFmtId="0" fontId="4" fillId="0" borderId="39" xfId="0" applyFont="1" applyBorder="1"/>
    <xf numFmtId="164" fontId="4" fillId="0" borderId="22" xfId="0" applyNumberFormat="1" applyFont="1" applyBorder="1"/>
    <xf numFmtId="0" fontId="0" fillId="0" borderId="22" xfId="0" applyBorder="1"/>
    <xf numFmtId="166" fontId="47" fillId="0" borderId="5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/>
    <xf numFmtId="4" fontId="26" fillId="9" borderId="33" xfId="0" applyNumberFormat="1" applyFont="1" applyFill="1" applyBorder="1"/>
    <xf numFmtId="4" fontId="22" fillId="9" borderId="35" xfId="0" applyNumberFormat="1" applyFont="1" applyFill="1" applyBorder="1"/>
    <xf numFmtId="4" fontId="30" fillId="9" borderId="0" xfId="0" applyNumberFormat="1" applyFont="1" applyFill="1"/>
    <xf numFmtId="0" fontId="4" fillId="9" borderId="0" xfId="0" applyFont="1" applyFill="1"/>
    <xf numFmtId="4" fontId="48" fillId="0" borderId="32" xfId="0" applyNumberFormat="1" applyFont="1" applyBorder="1"/>
    <xf numFmtId="4" fontId="49" fillId="0" borderId="33" xfId="0" applyNumberFormat="1" applyFont="1" applyBorder="1"/>
    <xf numFmtId="4" fontId="50" fillId="0" borderId="0" xfId="0" applyNumberFormat="1" applyFont="1"/>
    <xf numFmtId="0" fontId="50" fillId="0" borderId="0" xfId="0" applyFont="1"/>
    <xf numFmtId="0" fontId="13" fillId="0" borderId="0" xfId="0" applyFont="1" applyAlignment="1">
      <alignment horizontal="center"/>
    </xf>
    <xf numFmtId="4" fontId="13" fillId="3" borderId="0" xfId="0" applyNumberFormat="1" applyFont="1" applyFill="1"/>
    <xf numFmtId="165" fontId="4" fillId="3" borderId="0" xfId="0" applyNumberFormat="1" applyFont="1" applyFill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" fontId="22" fillId="0" borderId="0" xfId="0" applyNumberFormat="1" applyFont="1"/>
    <xf numFmtId="10" fontId="4" fillId="3" borderId="0" xfId="0" applyNumberFormat="1" applyFont="1" applyFill="1"/>
    <xf numFmtId="165" fontId="50" fillId="0" borderId="0" xfId="0" applyNumberFormat="1" applyFont="1"/>
    <xf numFmtId="0" fontId="0" fillId="3" borderId="0" xfId="0" applyFill="1"/>
    <xf numFmtId="166" fontId="47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164" fontId="0" fillId="0" borderId="0" xfId="0" applyNumberFormat="1" applyFill="1"/>
    <xf numFmtId="4" fontId="0" fillId="0" borderId="0" xfId="0" applyNumberFormat="1" applyFill="1"/>
    <xf numFmtId="165" fontId="4" fillId="0" borderId="0" xfId="0" applyNumberFormat="1" applyFont="1" applyFill="1"/>
    <xf numFmtId="166" fontId="0" fillId="0" borderId="0" xfId="0" applyNumberFormat="1" applyFill="1"/>
    <xf numFmtId="164" fontId="26" fillId="0" borderId="0" xfId="0" applyNumberFormat="1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4" fontId="13" fillId="0" borderId="0" xfId="0" applyNumberFormat="1" applyFont="1" applyFill="1" applyBorder="1"/>
    <xf numFmtId="4" fontId="30" fillId="0" borderId="0" xfId="0" applyNumberFormat="1" applyFont="1" applyFill="1" applyBorder="1"/>
    <xf numFmtId="164" fontId="34" fillId="0" borderId="0" xfId="0" applyNumberFormat="1" applyFont="1" applyFill="1" applyBorder="1"/>
    <xf numFmtId="164" fontId="37" fillId="0" borderId="0" xfId="0" applyNumberFormat="1" applyFont="1" applyFill="1" applyBorder="1"/>
    <xf numFmtId="164" fontId="0" fillId="0" borderId="0" xfId="0" applyNumberFormat="1" applyFill="1" applyBorder="1"/>
    <xf numFmtId="4" fontId="0" fillId="0" borderId="0" xfId="0" applyNumberForma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/>
    <xf numFmtId="4" fontId="37" fillId="0" borderId="0" xfId="0" applyNumberFormat="1" applyFont="1" applyFill="1" applyBorder="1"/>
    <xf numFmtId="166" fontId="0" fillId="0" borderId="0" xfId="0" applyNumberFormat="1" applyFill="1" applyBorder="1"/>
    <xf numFmtId="164" fontId="26" fillId="0" borderId="0" xfId="0" applyNumberFormat="1" applyFont="1" applyFill="1" applyBorder="1"/>
    <xf numFmtId="0" fontId="34" fillId="0" borderId="0" xfId="0" applyFont="1" applyFill="1" applyBorder="1"/>
    <xf numFmtId="164" fontId="22" fillId="0" borderId="0" xfId="0" applyNumberFormat="1" applyFont="1" applyFill="1" applyBorder="1"/>
    <xf numFmtId="0" fontId="2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" fontId="37" fillId="0" borderId="0" xfId="0" applyNumberFormat="1" applyFont="1" applyBorder="1"/>
    <xf numFmtId="164" fontId="0" fillId="0" borderId="0" xfId="0" applyNumberFormat="1" applyBorder="1"/>
    <xf numFmtId="4" fontId="4" fillId="0" borderId="0" xfId="0" applyNumberFormat="1" applyFont="1" applyBorder="1"/>
    <xf numFmtId="4" fontId="0" fillId="0" borderId="0" xfId="0" applyNumberFormat="1" applyBorder="1"/>
    <xf numFmtId="164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164" fontId="44" fillId="0" borderId="0" xfId="0" applyNumberFormat="1" applyFont="1" applyFill="1" applyBorder="1"/>
    <xf numFmtId="4" fontId="13" fillId="0" borderId="0" xfId="0" applyNumberFormat="1" applyFont="1" applyFill="1" applyBorder="1"/>
    <xf numFmtId="4" fontId="38" fillId="0" borderId="0" xfId="0" applyNumberFormat="1" applyFont="1" applyFill="1" applyBorder="1"/>
    <xf numFmtId="4" fontId="39" fillId="0" borderId="0" xfId="0" applyNumberFormat="1" applyFont="1" applyFill="1" applyBorder="1"/>
    <xf numFmtId="164" fontId="38" fillId="0" borderId="0" xfId="0" applyNumberFormat="1" applyFont="1" applyFill="1" applyBorder="1"/>
    <xf numFmtId="4" fontId="35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26" fillId="0" borderId="0" xfId="0" applyFont="1" applyFill="1" applyBorder="1"/>
    <xf numFmtId="4" fontId="34" fillId="0" borderId="0" xfId="0" applyNumberFormat="1" applyFont="1" applyFill="1" applyBorder="1"/>
    <xf numFmtId="0" fontId="35" fillId="0" borderId="0" xfId="0" applyFont="1" applyFill="1" applyBorder="1"/>
    <xf numFmtId="164" fontId="36" fillId="0" borderId="0" xfId="0" applyNumberFormat="1" applyFont="1" applyFill="1" applyBorder="1"/>
    <xf numFmtId="0" fontId="13" fillId="0" borderId="0" xfId="0" applyFont="1" applyFill="1" applyBorder="1"/>
    <xf numFmtId="10" fontId="0" fillId="0" borderId="0" xfId="0" applyNumberFormat="1" applyFill="1" applyBorder="1"/>
    <xf numFmtId="4" fontId="27" fillId="0" borderId="0" xfId="0" applyNumberFormat="1" applyFont="1" applyFill="1" applyBorder="1"/>
    <xf numFmtId="164" fontId="4" fillId="0" borderId="0" xfId="0" applyNumberFormat="1" applyFont="1" applyFill="1" applyBorder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/>
    <xf numFmtId="4" fontId="26" fillId="0" borderId="0" xfId="0" applyNumberFormat="1" applyFont="1" applyFill="1" applyBorder="1"/>
    <xf numFmtId="165" fontId="13" fillId="0" borderId="0" xfId="0" applyNumberFormat="1" applyFont="1" applyFill="1" applyBorder="1"/>
    <xf numFmtId="165" fontId="26" fillId="0" borderId="0" xfId="0" applyNumberFormat="1" applyFont="1" applyFill="1" applyBorder="1"/>
    <xf numFmtId="0" fontId="31" fillId="0" borderId="0" xfId="0" applyFont="1" applyFill="1" applyBorder="1" applyAlignment="1">
      <alignment horizontal="center" wrapText="1"/>
    </xf>
    <xf numFmtId="4" fontId="22" fillId="0" borderId="0" xfId="0" applyNumberFormat="1" applyFont="1" applyFill="1" applyBorder="1"/>
    <xf numFmtId="0" fontId="32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/>
    <xf numFmtId="0" fontId="33" fillId="0" borderId="0" xfId="0" applyFont="1" applyFill="1" applyBorder="1" applyAlignment="1">
      <alignment horizontal="center" wrapText="1"/>
    </xf>
    <xf numFmtId="0" fontId="27" fillId="0" borderId="0" xfId="0" applyFont="1" applyFill="1" applyBorder="1"/>
    <xf numFmtId="0" fontId="5" fillId="0" borderId="0" xfId="0" applyFont="1" applyFill="1" applyBorder="1"/>
    <xf numFmtId="165" fontId="27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10" fontId="13" fillId="0" borderId="0" xfId="0" applyNumberFormat="1" applyFont="1" applyFill="1" applyBorder="1"/>
    <xf numFmtId="4" fontId="48" fillId="0" borderId="0" xfId="0" applyNumberFormat="1" applyFont="1" applyFill="1" applyBorder="1"/>
    <xf numFmtId="4" fontId="49" fillId="0" borderId="0" xfId="0" applyNumberFormat="1" applyFont="1" applyFill="1" applyBorder="1"/>
    <xf numFmtId="0" fontId="22" fillId="0" borderId="0" xfId="0" applyFont="1" applyFill="1" applyBorder="1"/>
    <xf numFmtId="165" fontId="22" fillId="0" borderId="0" xfId="0" applyNumberFormat="1" applyFont="1" applyFill="1" applyBorder="1"/>
    <xf numFmtId="0" fontId="40" fillId="0" borderId="0" xfId="0" applyFont="1" applyFill="1" applyBorder="1"/>
    <xf numFmtId="164" fontId="40" fillId="0" borderId="0" xfId="0" applyNumberFormat="1" applyFont="1" applyFill="1" applyBorder="1"/>
    <xf numFmtId="0" fontId="50" fillId="0" borderId="0" xfId="0" applyFont="1" applyFill="1" applyBorder="1"/>
    <xf numFmtId="4" fontId="50" fillId="0" borderId="0" xfId="0" applyNumberFormat="1" applyFont="1" applyFill="1" applyBorder="1"/>
    <xf numFmtId="4" fontId="3" fillId="0" borderId="0" xfId="0" applyNumberFormat="1" applyFont="1" applyFill="1" applyAlignment="1">
      <alignment vertical="center" wrapText="1"/>
    </xf>
    <xf numFmtId="165" fontId="0" fillId="0" borderId="0" xfId="0" applyNumberFormat="1" applyFill="1"/>
    <xf numFmtId="2" fontId="3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10" fontId="4" fillId="0" borderId="0" xfId="0" applyNumberFormat="1" applyFont="1" applyFill="1"/>
    <xf numFmtId="165" fontId="50" fillId="0" borderId="0" xfId="0" applyNumberFormat="1" applyFont="1" applyFill="1"/>
    <xf numFmtId="4" fontId="3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/>
    <xf numFmtId="4" fontId="23" fillId="0" borderId="0" xfId="0" applyNumberFormat="1" applyFont="1" applyFill="1" applyBorder="1"/>
    <xf numFmtId="0" fontId="23" fillId="0" borderId="0" xfId="0" applyFont="1" applyFill="1" applyBorder="1"/>
    <xf numFmtId="4" fontId="43" fillId="0" borderId="0" xfId="0" applyNumberFormat="1" applyFont="1" applyFill="1" applyBorder="1"/>
    <xf numFmtId="0" fontId="41" fillId="0" borderId="0" xfId="0" applyFont="1" applyFill="1" applyBorder="1"/>
    <xf numFmtId="4" fontId="41" fillId="0" borderId="0" xfId="0" applyNumberFormat="1" applyFont="1" applyFill="1" applyBorder="1"/>
    <xf numFmtId="0" fontId="40" fillId="2" borderId="0" xfId="0" applyFont="1" applyFill="1" applyBorder="1"/>
    <xf numFmtId="4" fontId="46" fillId="0" borderId="0" xfId="0" applyNumberFormat="1" applyFont="1" applyFill="1" applyBorder="1"/>
    <xf numFmtId="0" fontId="42" fillId="0" borderId="0" xfId="0" applyFont="1" applyFill="1" applyBorder="1"/>
    <xf numFmtId="4" fontId="42" fillId="0" borderId="0" xfId="0" applyNumberFormat="1" applyFont="1" applyFill="1" applyBorder="1"/>
    <xf numFmtId="0" fontId="34" fillId="0" borderId="0" xfId="0" applyNumberFormat="1" applyFont="1" applyFill="1" applyBorder="1"/>
    <xf numFmtId="0" fontId="22" fillId="0" borderId="0" xfId="0" applyNumberFormat="1" applyFont="1" applyFill="1" applyBorder="1"/>
    <xf numFmtId="164" fontId="35" fillId="0" borderId="0" xfId="0" applyNumberFormat="1" applyFont="1" applyFill="1" applyBorder="1"/>
    <xf numFmtId="166" fontId="51" fillId="0" borderId="17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164" fontId="51" fillId="0" borderId="17" xfId="0" applyNumberFormat="1" applyFont="1" applyFill="1" applyBorder="1" applyAlignment="1">
      <alignment horizontal="center" vertical="center" wrapText="1"/>
    </xf>
    <xf numFmtId="166" fontId="19" fillId="0" borderId="17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/>
    <xf numFmtId="166" fontId="45" fillId="2" borderId="17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/>
    <xf numFmtId="0" fontId="22" fillId="0" borderId="18" xfId="0" applyFont="1" applyBorder="1" applyAlignment="1"/>
    <xf numFmtId="0" fontId="17" fillId="4" borderId="11" xfId="0" applyFont="1" applyFill="1" applyBorder="1" applyAlignment="1"/>
    <xf numFmtId="0" fontId="52" fillId="10" borderId="40" xfId="0" applyFont="1" applyFill="1" applyBorder="1" applyAlignment="1">
      <alignment horizontal="center" vertical="center" wrapText="1"/>
    </xf>
    <xf numFmtId="0" fontId="52" fillId="10" borderId="41" xfId="0" applyFont="1" applyFill="1" applyBorder="1" applyAlignment="1">
      <alignment horizontal="center" vertical="center" wrapText="1"/>
    </xf>
    <xf numFmtId="0" fontId="52" fillId="10" borderId="41" xfId="0" applyFont="1" applyFill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0" fontId="56" fillId="0" borderId="7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7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53" fillId="0" borderId="7" xfId="0" applyFont="1" applyBorder="1" applyAlignment="1">
      <alignment vertical="center" wrapText="1"/>
    </xf>
    <xf numFmtId="4" fontId="58" fillId="0" borderId="12" xfId="0" applyNumberFormat="1" applyFont="1" applyBorder="1" applyAlignment="1">
      <alignment horizontal="right" vertical="center" wrapText="1"/>
    </xf>
    <xf numFmtId="0" fontId="55" fillId="0" borderId="7" xfId="0" applyFont="1" applyBorder="1" applyAlignment="1">
      <alignment vertical="center" wrapText="1"/>
    </xf>
    <xf numFmtId="0" fontId="59" fillId="0" borderId="7" xfId="0" applyFont="1" applyBorder="1" applyAlignment="1">
      <alignment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0" fontId="54" fillId="0" borderId="1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" fontId="4" fillId="11" borderId="0" xfId="0" applyNumberFormat="1" applyFont="1" applyFill="1" applyAlignment="1">
      <alignment vertical="center" wrapText="1"/>
    </xf>
    <xf numFmtId="0" fontId="35" fillId="0" borderId="10" xfId="0" applyFont="1" applyBorder="1"/>
    <xf numFmtId="0" fontId="35" fillId="0" borderId="12" xfId="0" applyFont="1" applyBorder="1"/>
    <xf numFmtId="0" fontId="35" fillId="0" borderId="7" xfId="0" applyFont="1" applyBorder="1"/>
    <xf numFmtId="4" fontId="4" fillId="11" borderId="0" xfId="0" applyNumberFormat="1" applyFont="1" applyFill="1"/>
    <xf numFmtId="166" fontId="4" fillId="0" borderId="0" xfId="0" applyNumberFormat="1" applyFont="1" applyAlignment="1">
      <alignment wrapText="1"/>
    </xf>
    <xf numFmtId="164" fontId="13" fillId="0" borderId="22" xfId="0" applyNumberFormat="1" applyFont="1" applyBorder="1"/>
    <xf numFmtId="164" fontId="13" fillId="3" borderId="22" xfId="0" applyNumberFormat="1" applyFont="1" applyFill="1" applyBorder="1"/>
    <xf numFmtId="164" fontId="26" fillId="11" borderId="0" xfId="0" applyNumberFormat="1" applyFont="1" applyFill="1"/>
    <xf numFmtId="164" fontId="22" fillId="3" borderId="4" xfId="0" applyNumberFormat="1" applyFont="1" applyFill="1" applyBorder="1"/>
    <xf numFmtId="4" fontId="4" fillId="2" borderId="0" xfId="0" applyNumberFormat="1" applyFont="1" applyFill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" fontId="60" fillId="0" borderId="0" xfId="0" applyNumberFormat="1" applyFont="1"/>
    <xf numFmtId="164" fontId="60" fillId="0" borderId="0" xfId="0" applyNumberFormat="1" applyFont="1"/>
    <xf numFmtId="166" fontId="61" fillId="0" borderId="5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/>
    <xf numFmtId="0" fontId="13" fillId="12" borderId="22" xfId="0" applyFont="1" applyFill="1" applyBorder="1" applyAlignment="1">
      <alignment horizontal="center" wrapText="1"/>
    </xf>
    <xf numFmtId="0" fontId="62" fillId="7" borderId="43" xfId="0" applyFont="1" applyFill="1" applyBorder="1" applyAlignment="1">
      <alignment horizontal="center" vertical="center" wrapText="1"/>
    </xf>
    <xf numFmtId="166" fontId="63" fillId="0" borderId="17" xfId="0" applyNumberFormat="1" applyFont="1" applyBorder="1" applyAlignment="1">
      <alignment horizontal="center" vertical="center" wrapText="1"/>
    </xf>
    <xf numFmtId="166" fontId="63" fillId="0" borderId="5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center" wrapText="1"/>
    </xf>
    <xf numFmtId="165" fontId="0" fillId="2" borderId="0" xfId="0" applyNumberFormat="1" applyFill="1"/>
    <xf numFmtId="0" fontId="0" fillId="2" borderId="0" xfId="0" applyFill="1"/>
    <xf numFmtId="166" fontId="0" fillId="2" borderId="0" xfId="0" applyNumberFormat="1" applyFill="1"/>
    <xf numFmtId="2" fontId="3" fillId="2" borderId="0" xfId="0" applyNumberFormat="1" applyFont="1" applyFill="1" applyAlignment="1">
      <alignment vertical="center" wrapText="1"/>
    </xf>
    <xf numFmtId="165" fontId="4" fillId="2" borderId="0" xfId="0" applyNumberFormat="1" applyFont="1" applyFill="1" applyAlignment="1">
      <alignment horizontal="right"/>
    </xf>
    <xf numFmtId="164" fontId="0" fillId="2" borderId="0" xfId="0" applyNumberFormat="1" applyFill="1"/>
    <xf numFmtId="165" fontId="4" fillId="2" borderId="0" xfId="0" applyNumberFormat="1" applyFont="1" applyFill="1"/>
    <xf numFmtId="4" fontId="0" fillId="2" borderId="0" xfId="0" applyNumberFormat="1" applyFill="1"/>
    <xf numFmtId="166" fontId="4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vertical="center" wrapText="1"/>
    </xf>
    <xf numFmtId="10" fontId="4" fillId="2" borderId="0" xfId="0" applyNumberFormat="1" applyFont="1" applyFill="1"/>
    <xf numFmtId="164" fontId="26" fillId="2" borderId="0" xfId="0" applyNumberFormat="1" applyFont="1" applyFill="1"/>
    <xf numFmtId="164" fontId="13" fillId="2" borderId="0" xfId="0" applyNumberFormat="1" applyFont="1" applyFill="1"/>
    <xf numFmtId="10" fontId="4" fillId="2" borderId="0" xfId="0" applyNumberFormat="1" applyFont="1" applyFill="1" applyAlignment="1">
      <alignment vertical="center" wrapText="1"/>
    </xf>
    <xf numFmtId="4" fontId="34" fillId="2" borderId="0" xfId="0" applyNumberFormat="1" applyFont="1" applyFill="1"/>
    <xf numFmtId="165" fontId="50" fillId="2" borderId="0" xfId="0" applyNumberFormat="1" applyFont="1" applyFill="1"/>
    <xf numFmtId="0" fontId="4" fillId="2" borderId="0" xfId="0" applyFont="1" applyFill="1" applyAlignment="1">
      <alignment horizontal="center"/>
    </xf>
    <xf numFmtId="4" fontId="60" fillId="0" borderId="0" xfId="0" applyNumberFormat="1" applyFont="1" applyBorder="1"/>
    <xf numFmtId="0" fontId="4" fillId="0" borderId="0" xfId="0" applyNumberFormat="1" applyFont="1" applyBorder="1"/>
    <xf numFmtId="4" fontId="23" fillId="2" borderId="0" xfId="0" applyNumberFormat="1" applyFont="1" applyFill="1" applyBorder="1"/>
    <xf numFmtId="0" fontId="23" fillId="0" borderId="0" xfId="0" applyFont="1" applyBorder="1"/>
    <xf numFmtId="0" fontId="34" fillId="0" borderId="0" xfId="0" applyFont="1" applyBorder="1"/>
    <xf numFmtId="4" fontId="43" fillId="2" borderId="0" xfId="0" applyNumberFormat="1" applyFont="1" applyFill="1" applyBorder="1"/>
    <xf numFmtId="0" fontId="41" fillId="0" borderId="0" xfId="0" applyFont="1" applyBorder="1"/>
    <xf numFmtId="4" fontId="46" fillId="2" borderId="0" xfId="0" applyNumberFormat="1" applyFont="1" applyFill="1" applyBorder="1"/>
    <xf numFmtId="0" fontId="42" fillId="0" borderId="0" xfId="0" applyFont="1" applyBorder="1"/>
    <xf numFmtId="4" fontId="42" fillId="2" borderId="0" xfId="0" applyNumberFormat="1" applyFont="1" applyFill="1" applyBorder="1"/>
    <xf numFmtId="0" fontId="34" fillId="2" borderId="0" xfId="0" applyNumberFormat="1" applyFont="1" applyFill="1" applyBorder="1"/>
    <xf numFmtId="164" fontId="4" fillId="2" borderId="0" xfId="0" applyNumberFormat="1" applyFont="1" applyFill="1" applyBorder="1"/>
    <xf numFmtId="164" fontId="0" fillId="2" borderId="0" xfId="0" applyNumberFormat="1" applyFill="1" applyBorder="1"/>
    <xf numFmtId="164" fontId="35" fillId="2" borderId="0" xfId="0" applyNumberFormat="1" applyFont="1" applyFill="1" applyBorder="1"/>
    <xf numFmtId="164" fontId="60" fillId="2" borderId="0" xfId="0" applyNumberFormat="1" applyFont="1" applyFill="1" applyBorder="1"/>
    <xf numFmtId="4" fontId="4" fillId="2" borderId="0" xfId="0" applyNumberFormat="1" applyFont="1" applyFill="1" applyBorder="1"/>
    <xf numFmtId="164" fontId="13" fillId="2" borderId="0" xfId="0" applyNumberFormat="1" applyFont="1" applyFill="1" applyBorder="1"/>
    <xf numFmtId="4" fontId="30" fillId="2" borderId="0" xfId="0" applyNumberFormat="1" applyFont="1" applyFill="1" applyBorder="1"/>
    <xf numFmtId="164" fontId="34" fillId="2" borderId="0" xfId="0" applyNumberFormat="1" applyFont="1" applyFill="1" applyBorder="1"/>
    <xf numFmtId="164" fontId="37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4" fontId="37" fillId="2" borderId="0" xfId="0" applyNumberFormat="1" applyFont="1" applyFill="1" applyBorder="1"/>
    <xf numFmtId="166" fontId="0" fillId="2" borderId="0" xfId="0" applyNumberFormat="1" applyFill="1" applyBorder="1"/>
    <xf numFmtId="164" fontId="26" fillId="2" borderId="0" xfId="0" applyNumberFormat="1" applyFont="1" applyFill="1" applyBorder="1"/>
    <xf numFmtId="0" fontId="34" fillId="2" borderId="0" xfId="0" applyFont="1" applyFill="1" applyBorder="1"/>
    <xf numFmtId="164" fontId="22" fillId="2" borderId="0" xfId="0" applyNumberFormat="1" applyFont="1" applyFill="1" applyBorder="1"/>
    <xf numFmtId="0" fontId="26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165" fontId="0" fillId="2" borderId="0" xfId="0" applyNumberFormat="1" applyFill="1" applyBorder="1"/>
    <xf numFmtId="164" fontId="44" fillId="2" borderId="0" xfId="0" applyNumberFormat="1" applyFont="1" applyFill="1" applyBorder="1"/>
    <xf numFmtId="4" fontId="38" fillId="2" borderId="0" xfId="0" applyNumberFormat="1" applyFont="1" applyFill="1" applyBorder="1"/>
    <xf numFmtId="164" fontId="38" fillId="2" borderId="0" xfId="0" applyNumberFormat="1" applyFont="1" applyFill="1" applyBorder="1"/>
    <xf numFmtId="4" fontId="35" fillId="2" borderId="0" xfId="0" applyNumberFormat="1" applyFont="1" applyFill="1" applyBorder="1"/>
    <xf numFmtId="0" fontId="13" fillId="2" borderId="0" xfId="0" applyFont="1" applyFill="1" applyBorder="1" applyAlignment="1">
      <alignment horizontal="center"/>
    </xf>
    <xf numFmtId="0" fontId="35" fillId="2" borderId="0" xfId="0" applyFont="1" applyFill="1" applyBorder="1"/>
    <xf numFmtId="164" fontId="36" fillId="2" borderId="0" xfId="0" applyNumberFormat="1" applyFont="1" applyFill="1" applyBorder="1"/>
    <xf numFmtId="0" fontId="13" fillId="2" borderId="0" xfId="0" applyFont="1" applyFill="1" applyBorder="1"/>
    <xf numFmtId="10" fontId="0" fillId="2" borderId="0" xfId="0" applyNumberFormat="1" applyFill="1" applyBorder="1"/>
    <xf numFmtId="0" fontId="29" fillId="2" borderId="0" xfId="0" applyFont="1" applyFill="1" applyBorder="1"/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/>
    <xf numFmtId="165" fontId="13" fillId="2" borderId="0" xfId="0" applyNumberFormat="1" applyFont="1" applyFill="1" applyBorder="1"/>
    <xf numFmtId="0" fontId="31" fillId="2" borderId="0" xfId="0" applyFont="1" applyFill="1" applyBorder="1" applyAlignment="1">
      <alignment horizontal="center" wrapText="1"/>
    </xf>
    <xf numFmtId="4" fontId="22" fillId="2" borderId="0" xfId="0" applyNumberFormat="1" applyFont="1" applyFill="1" applyBorder="1"/>
    <xf numFmtId="0" fontId="13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27" fillId="2" borderId="0" xfId="0" applyFont="1" applyFill="1" applyBorder="1"/>
    <xf numFmtId="0" fontId="5" fillId="2" borderId="0" xfId="0" applyFont="1" applyFill="1" applyBorder="1"/>
    <xf numFmtId="0" fontId="13" fillId="2" borderId="0" xfId="0" applyFont="1" applyFill="1" applyBorder="1" applyAlignment="1">
      <alignment wrapText="1"/>
    </xf>
    <xf numFmtId="10" fontId="13" fillId="2" borderId="0" xfId="0" applyNumberFormat="1" applyFont="1" applyFill="1" applyBorder="1"/>
    <xf numFmtId="4" fontId="48" fillId="2" borderId="0" xfId="0" applyNumberFormat="1" applyFont="1" applyFill="1" applyBorder="1"/>
    <xf numFmtId="4" fontId="49" fillId="2" borderId="0" xfId="0" applyNumberFormat="1" applyFont="1" applyFill="1" applyBorder="1"/>
    <xf numFmtId="0" fontId="62" fillId="2" borderId="0" xfId="0" applyFont="1" applyFill="1" applyBorder="1" applyAlignment="1">
      <alignment horizontal="center" vertical="center" wrapText="1"/>
    </xf>
    <xf numFmtId="4" fontId="39" fillId="2" borderId="0" xfId="0" applyNumberFormat="1" applyFont="1" applyFill="1" applyBorder="1"/>
    <xf numFmtId="0" fontId="22" fillId="2" borderId="0" xfId="0" applyFont="1" applyFill="1" applyBorder="1"/>
    <xf numFmtId="165" fontId="22" fillId="2" borderId="0" xfId="0" applyNumberFormat="1" applyFont="1" applyFill="1" applyBorder="1"/>
    <xf numFmtId="164" fontId="40" fillId="2" borderId="0" xfId="0" applyNumberFormat="1" applyFont="1" applyFill="1" applyBorder="1"/>
    <xf numFmtId="0" fontId="50" fillId="2" borderId="0" xfId="0" applyFont="1" applyFill="1" applyBorder="1"/>
    <xf numFmtId="4" fontId="50" fillId="2" borderId="0" xfId="0" applyNumberFormat="1" applyFont="1" applyFill="1" applyBorder="1"/>
    <xf numFmtId="0" fontId="41" fillId="2" borderId="0" xfId="0" applyFont="1" applyFill="1" applyBorder="1"/>
    <xf numFmtId="0" fontId="22" fillId="2" borderId="0" xfId="0" applyNumberFormat="1" applyFont="1" applyFill="1" applyBorder="1"/>
    <xf numFmtId="164" fontId="51" fillId="2" borderId="17" xfId="0" applyNumberFormat="1" applyFont="1" applyFill="1" applyBorder="1" applyAlignment="1">
      <alignment horizontal="center" vertical="center" wrapText="1"/>
    </xf>
    <xf numFmtId="166" fontId="47" fillId="2" borderId="17" xfId="0" applyNumberFormat="1" applyFont="1" applyFill="1" applyBorder="1" applyAlignment="1">
      <alignment horizontal="center" vertical="center" wrapText="1"/>
    </xf>
    <xf numFmtId="164" fontId="47" fillId="2" borderId="17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5" fontId="12" fillId="4" borderId="6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6" fontId="51" fillId="0" borderId="17" xfId="0" applyNumberFormat="1" applyFont="1" applyBorder="1" applyAlignment="1">
      <alignment horizontal="center" vertical="center" wrapText="1"/>
    </xf>
    <xf numFmtId="166" fontId="51" fillId="0" borderId="5" xfId="0" applyNumberFormat="1" applyFont="1" applyBorder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4" fontId="4" fillId="2" borderId="22" xfId="0" applyNumberFormat="1" applyFont="1" applyFill="1" applyBorder="1"/>
    <xf numFmtId="0" fontId="4" fillId="0" borderId="30" xfId="0" applyFont="1" applyBorder="1"/>
    <xf numFmtId="0" fontId="26" fillId="0" borderId="30" xfId="0" applyFont="1" applyBorder="1"/>
    <xf numFmtId="0" fontId="4" fillId="3" borderId="22" xfId="0" applyNumberFormat="1" applyFont="1" applyFill="1" applyBorder="1"/>
    <xf numFmtId="4" fontId="22" fillId="2" borderId="22" xfId="0" applyNumberFormat="1" applyFont="1" applyFill="1" applyBorder="1"/>
    <xf numFmtId="164" fontId="4" fillId="0" borderId="0" xfId="0" applyNumberFormat="1" applyFont="1" applyAlignment="1">
      <alignment horizontal="right"/>
    </xf>
    <xf numFmtId="4" fontId="30" fillId="3" borderId="24" xfId="0" applyNumberFormat="1" applyFont="1" applyFill="1" applyBorder="1"/>
    <xf numFmtId="0" fontId="4" fillId="0" borderId="4" xfId="0" applyNumberFormat="1" applyFont="1" applyBorder="1"/>
    <xf numFmtId="0" fontId="4" fillId="3" borderId="18" xfId="0" applyNumberFormat="1" applyFont="1" applyFill="1" applyBorder="1"/>
    <xf numFmtId="0" fontId="4" fillId="3" borderId="19" xfId="0" applyNumberFormat="1" applyFont="1" applyFill="1" applyBorder="1"/>
    <xf numFmtId="0" fontId="4" fillId="0" borderId="25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3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6" xfId="0" applyFont="1" applyBorder="1"/>
    <xf numFmtId="164" fontId="4" fillId="0" borderId="27" xfId="0" applyNumberFormat="1" applyFont="1" applyBorder="1"/>
    <xf numFmtId="164" fontId="4" fillId="0" borderId="28" xfId="0" applyNumberFormat="1" applyFont="1" applyBorder="1"/>
    <xf numFmtId="4" fontId="4" fillId="0" borderId="31" xfId="0" applyNumberFormat="1" applyFont="1" applyBorder="1"/>
    <xf numFmtId="4" fontId="4" fillId="0" borderId="44" xfId="0" applyNumberFormat="1" applyFont="1" applyBorder="1"/>
    <xf numFmtId="2" fontId="0" fillId="0" borderId="0" xfId="0" applyNumberFormat="1"/>
    <xf numFmtId="0" fontId="40" fillId="0" borderId="0" xfId="0" applyFont="1"/>
    <xf numFmtId="0" fontId="26" fillId="2" borderId="22" xfId="0" applyFont="1" applyFill="1" applyBorder="1"/>
    <xf numFmtId="0" fontId="4" fillId="2" borderId="22" xfId="0" applyFont="1" applyFill="1" applyBorder="1"/>
    <xf numFmtId="0" fontId="4" fillId="2" borderId="22" xfId="0" applyNumberFormat="1" applyFont="1" applyFill="1" applyBorder="1"/>
    <xf numFmtId="165" fontId="49" fillId="2" borderId="22" xfId="0" applyNumberFormat="1" applyFont="1" applyFill="1" applyBorder="1"/>
    <xf numFmtId="0" fontId="4" fillId="0" borderId="18" xfId="0" applyFont="1" applyBorder="1"/>
    <xf numFmtId="0" fontId="13" fillId="12" borderId="25" xfId="0" applyFont="1" applyFill="1" applyBorder="1" applyAlignment="1">
      <alignment horizontal="center" wrapText="1"/>
    </xf>
    <xf numFmtId="0" fontId="32" fillId="7" borderId="1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35" fillId="0" borderId="0" xfId="0" applyFont="1" applyBorder="1"/>
    <xf numFmtId="4" fontId="0" fillId="0" borderId="19" xfId="0" applyNumberFormat="1" applyBorder="1"/>
    <xf numFmtId="164" fontId="65" fillId="0" borderId="0" xfId="0" applyNumberFormat="1" applyFont="1"/>
    <xf numFmtId="165" fontId="13" fillId="0" borderId="0" xfId="0" applyNumberFormat="1" applyFont="1"/>
    <xf numFmtId="4" fontId="19" fillId="0" borderId="17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63" fillId="0" borderId="5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4" fontId="19" fillId="2" borderId="17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/>
    </xf>
    <xf numFmtId="165" fontId="8" fillId="0" borderId="15" xfId="0" applyNumberFormat="1" applyFont="1" applyBorder="1" applyAlignment="1">
      <alignment horizontal="center" vertical="center" wrapText="1"/>
    </xf>
    <xf numFmtId="4" fontId="45" fillId="2" borderId="17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/>
    <xf numFmtId="0" fontId="42" fillId="2" borderId="0" xfId="0" applyFont="1" applyFill="1" applyBorder="1"/>
    <xf numFmtId="4" fontId="60" fillId="2" borderId="0" xfId="0" applyNumberFormat="1" applyFont="1" applyFill="1" applyBorder="1"/>
    <xf numFmtId="4" fontId="47" fillId="2" borderId="17" xfId="0" applyNumberFormat="1" applyFont="1" applyFill="1" applyBorder="1" applyAlignment="1">
      <alignment horizontal="center" vertical="center" wrapText="1"/>
    </xf>
    <xf numFmtId="4" fontId="47" fillId="0" borderId="5" xfId="0" applyNumberFormat="1" applyFont="1" applyBorder="1" applyAlignment="1">
      <alignment horizontal="center" vertical="center" wrapText="1"/>
    </xf>
    <xf numFmtId="165" fontId="49" fillId="2" borderId="0" xfId="0" applyNumberFormat="1" applyFont="1" applyFill="1" applyBorder="1"/>
    <xf numFmtId="4" fontId="5" fillId="2" borderId="0" xfId="0" applyNumberFormat="1" applyFont="1" applyFill="1" applyBorder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4" fontId="54" fillId="0" borderId="0" xfId="0" applyNumberFormat="1" applyFont="1" applyBorder="1" applyAlignment="1">
      <alignment horizontal="right" vertical="center" wrapText="1"/>
    </xf>
    <xf numFmtId="165" fontId="30" fillId="0" borderId="0" xfId="0" applyNumberFormat="1" applyFont="1"/>
    <xf numFmtId="0" fontId="0" fillId="2" borderId="0" xfId="0" applyFill="1" applyBorder="1" applyAlignment="1"/>
    <xf numFmtId="0" fontId="64" fillId="2" borderId="0" xfId="0" applyFont="1" applyFill="1" applyBorder="1" applyAlignment="1">
      <alignment horizontal="right"/>
    </xf>
    <xf numFmtId="4" fontId="66" fillId="2" borderId="0" xfId="0" applyNumberFormat="1" applyFont="1" applyFill="1" applyBorder="1"/>
    <xf numFmtId="4" fontId="64" fillId="2" borderId="0" xfId="0" applyNumberFormat="1" applyFont="1" applyFill="1" applyBorder="1"/>
    <xf numFmtId="0" fontId="64" fillId="2" borderId="0" xfId="0" applyNumberFormat="1" applyFont="1" applyFill="1" applyBorder="1"/>
    <xf numFmtId="4" fontId="67" fillId="2" borderId="0" xfId="0" applyNumberFormat="1" applyFont="1" applyFill="1" applyBorder="1"/>
    <xf numFmtId="4" fontId="68" fillId="2" borderId="0" xfId="0" applyNumberFormat="1" applyFont="1" applyFill="1" applyBorder="1"/>
    <xf numFmtId="0" fontId="54" fillId="2" borderId="0" xfId="0" applyFont="1" applyFill="1" applyBorder="1" applyAlignment="1">
      <alignment horizontal="right" vertical="center" wrapText="1"/>
    </xf>
    <xf numFmtId="4" fontId="54" fillId="2" borderId="0" xfId="0" applyNumberFormat="1" applyFont="1" applyFill="1" applyBorder="1" applyAlignment="1">
      <alignment horizontal="right"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0" fillId="13" borderId="16" xfId="0" applyFill="1" applyBorder="1"/>
    <xf numFmtId="0" fontId="0" fillId="13" borderId="10" xfId="0" applyFill="1" applyBorder="1"/>
    <xf numFmtId="0" fontId="0" fillId="13" borderId="15" xfId="0" applyFill="1" applyBorder="1"/>
    <xf numFmtId="0" fontId="0" fillId="13" borderId="12" xfId="0" applyFill="1" applyBorder="1"/>
    <xf numFmtId="0" fontId="0" fillId="13" borderId="13" xfId="0" applyFill="1" applyBorder="1"/>
    <xf numFmtId="0" fontId="0" fillId="13" borderId="14" xfId="0" applyFill="1" applyBorder="1"/>
    <xf numFmtId="0" fontId="0" fillId="13" borderId="7" xfId="0" applyFill="1" applyBorder="1"/>
    <xf numFmtId="0" fontId="8" fillId="13" borderId="15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0" fillId="13" borderId="0" xfId="0" applyFill="1" applyBorder="1"/>
    <xf numFmtId="0" fontId="11" fillId="13" borderId="17" xfId="0" applyFont="1" applyFill="1" applyBorder="1" applyAlignment="1">
      <alignment vertical="center" wrapText="1"/>
    </xf>
    <xf numFmtId="0" fontId="11" fillId="13" borderId="7" xfId="0" applyFont="1" applyFill="1" applyBorder="1" applyAlignment="1">
      <alignment vertical="center" wrapText="1"/>
    </xf>
    <xf numFmtId="0" fontId="16" fillId="13" borderId="8" xfId="0" applyFont="1" applyFill="1" applyBorder="1"/>
    <xf numFmtId="0" fontId="16" fillId="13" borderId="10" xfId="0" applyFont="1" applyFill="1" applyBorder="1"/>
    <xf numFmtId="0" fontId="16" fillId="13" borderId="11" xfId="0" applyFont="1" applyFill="1" applyBorder="1"/>
    <xf numFmtId="0" fontId="16" fillId="13" borderId="12" xfId="0" applyFont="1" applyFill="1" applyBorder="1"/>
    <xf numFmtId="0" fontId="4" fillId="13" borderId="19" xfId="0" applyFont="1" applyFill="1" applyBorder="1" applyAlignment="1">
      <alignment horizontal="center"/>
    </xf>
    <xf numFmtId="4" fontId="8" fillId="13" borderId="5" xfId="0" applyNumberFormat="1" applyFont="1" applyFill="1" applyBorder="1" applyAlignment="1">
      <alignment horizontal="center" vertical="center" wrapText="1"/>
    </xf>
    <xf numFmtId="4" fontId="7" fillId="13" borderId="5" xfId="0" applyNumberFormat="1" applyFont="1" applyFill="1" applyBorder="1" applyAlignment="1">
      <alignment horizontal="center" vertical="center" wrapText="1"/>
    </xf>
    <xf numFmtId="4" fontId="7" fillId="13" borderId="4" xfId="0" applyNumberFormat="1" applyFont="1" applyFill="1" applyBorder="1" applyAlignment="1">
      <alignment horizontal="center" vertical="center" wrapText="1"/>
    </xf>
    <xf numFmtId="165" fontId="21" fillId="13" borderId="4" xfId="0" applyNumberFormat="1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22" fillId="13" borderId="18" xfId="0" applyFont="1" applyFill="1" applyBorder="1" applyAlignment="1">
      <alignment horizontal="center"/>
    </xf>
    <xf numFmtId="0" fontId="23" fillId="13" borderId="6" xfId="0" applyFont="1" applyFill="1" applyBorder="1" applyAlignment="1">
      <alignment horizontal="center"/>
    </xf>
    <xf numFmtId="0" fontId="0" fillId="0" borderId="17" xfId="0" applyBorder="1"/>
    <xf numFmtId="4" fontId="8" fillId="0" borderId="18" xfId="0" applyNumberFormat="1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4" fontId="4" fillId="2" borderId="0" xfId="0" applyNumberFormat="1" applyFont="1" applyFill="1"/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0" borderId="16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vertical="top" wrapText="1"/>
    </xf>
    <xf numFmtId="0" fontId="10" fillId="0" borderId="15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horizontal="justify" vertical="center" wrapText="1"/>
    </xf>
    <xf numFmtId="0" fontId="10" fillId="4" borderId="5" xfId="0" applyFont="1" applyFill="1" applyBorder="1" applyAlignment="1">
      <alignment horizontal="justify" vertical="center" wrapText="1"/>
    </xf>
    <xf numFmtId="0" fontId="0" fillId="4" borderId="13" xfId="0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justify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52" fillId="10" borderId="42" xfId="0" applyFont="1" applyFill="1" applyBorder="1" applyAlignment="1">
      <alignment horizontal="center" vertical="center" wrapText="1"/>
    </xf>
    <xf numFmtId="0" fontId="52" fillId="10" borderId="41" xfId="0" applyFont="1" applyFill="1" applyBorder="1" applyAlignment="1">
      <alignment horizontal="center" vertical="center" wrapText="1"/>
    </xf>
    <xf numFmtId="0" fontId="52" fillId="10" borderId="42" xfId="0" applyFont="1" applyFill="1" applyBorder="1" applyAlignment="1">
      <alignment vertical="center" wrapText="1"/>
    </xf>
    <xf numFmtId="0" fontId="52" fillId="10" borderId="41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horizontal="center" wrapText="1"/>
    </xf>
    <xf numFmtId="0" fontId="18" fillId="4" borderId="6" xfId="0" applyFont="1" applyFill="1" applyBorder="1" applyAlignment="1">
      <alignment horizont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vertical="center" wrapText="1"/>
    </xf>
    <xf numFmtId="0" fontId="6" fillId="13" borderId="9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vertical="center" wrapText="1"/>
    </xf>
    <xf numFmtId="0" fontId="0" fillId="13" borderId="11" xfId="0" applyFill="1" applyBorder="1" applyAlignment="1">
      <alignment vertical="top" wrapText="1"/>
    </xf>
    <xf numFmtId="0" fontId="0" fillId="13" borderId="0" xfId="0" applyFill="1" applyBorder="1" applyAlignment="1">
      <alignment vertical="top" wrapText="1"/>
    </xf>
    <xf numFmtId="0" fontId="0" fillId="13" borderId="12" xfId="0" applyFill="1" applyBorder="1" applyAlignment="1">
      <alignment vertical="top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vertical="top" wrapText="1"/>
    </xf>
    <xf numFmtId="0" fontId="0" fillId="13" borderId="14" xfId="0" applyFill="1" applyBorder="1" applyAlignment="1">
      <alignment vertical="top" wrapText="1"/>
    </xf>
    <xf numFmtId="0" fontId="0" fillId="13" borderId="7" xfId="0" applyFill="1" applyBorder="1" applyAlignment="1">
      <alignment vertical="top" wrapText="1"/>
    </xf>
    <xf numFmtId="0" fontId="10" fillId="13" borderId="16" xfId="0" applyFont="1" applyFill="1" applyBorder="1" applyAlignment="1">
      <alignment horizontal="justify" vertical="center" wrapText="1"/>
    </xf>
    <xf numFmtId="0" fontId="10" fillId="13" borderId="15" xfId="0" applyFont="1" applyFill="1" applyBorder="1" applyAlignment="1">
      <alignment horizontal="justify" vertical="center" wrapText="1"/>
    </xf>
    <xf numFmtId="0" fontId="9" fillId="13" borderId="16" xfId="0" applyFont="1" applyFill="1" applyBorder="1" applyAlignment="1">
      <alignment vertical="center" wrapText="1"/>
    </xf>
    <xf numFmtId="0" fontId="9" fillId="13" borderId="5" xfId="0" applyFont="1" applyFill="1" applyBorder="1" applyAlignment="1">
      <alignment vertical="center" wrapText="1"/>
    </xf>
    <xf numFmtId="0" fontId="10" fillId="13" borderId="5" xfId="0" applyFont="1" applyFill="1" applyBorder="1" applyAlignment="1">
      <alignment horizontal="justify" vertical="center" wrapText="1"/>
    </xf>
    <xf numFmtId="0" fontId="54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U43"/>
  <sheetViews>
    <sheetView topLeftCell="A4" workbookViewId="0">
      <selection activeCell="E39" sqref="E39"/>
    </sheetView>
  </sheetViews>
  <sheetFormatPr defaultRowHeight="15" x14ac:dyDescent="0.25"/>
  <cols>
    <col min="2" max="2" width="2.5703125" customWidth="1"/>
    <col min="3" max="3" width="13" customWidth="1"/>
    <col min="4" max="4" width="12.7109375" customWidth="1"/>
    <col min="5" max="5" width="10.140625" customWidth="1"/>
    <col min="6" max="6" width="12.42578125" customWidth="1"/>
    <col min="7" max="7" width="12.28515625" customWidth="1"/>
    <col min="8" max="8" width="10.85546875" customWidth="1"/>
    <col min="9" max="9" width="10.140625" customWidth="1"/>
    <col min="10" max="10" width="10.42578125" customWidth="1"/>
    <col min="11" max="11" width="12" customWidth="1"/>
    <col min="12" max="12" width="11" customWidth="1"/>
    <col min="13" max="13" width="11.5703125" customWidth="1"/>
    <col min="14" max="14" width="11.42578125" customWidth="1"/>
    <col min="15" max="15" width="9.85546875" customWidth="1"/>
    <col min="16" max="16" width="12" customWidth="1"/>
    <col min="20" max="20" width="10.5703125" customWidth="1"/>
  </cols>
  <sheetData>
    <row r="5" spans="3:20" x14ac:dyDescent="0.25">
      <c r="C5" s="15"/>
      <c r="D5" s="15"/>
      <c r="E5" s="15"/>
      <c r="F5" s="15"/>
      <c r="G5" s="15"/>
      <c r="H5" s="15"/>
    </row>
    <row r="6" spans="3:20" x14ac:dyDescent="0.25">
      <c r="C6" s="15"/>
      <c r="D6" s="16"/>
      <c r="E6" s="17"/>
      <c r="F6" s="15"/>
      <c r="G6" s="16"/>
      <c r="H6" s="15"/>
    </row>
    <row r="7" spans="3:20" x14ac:dyDescent="0.25">
      <c r="C7" s="18"/>
      <c r="D7" s="19"/>
      <c r="E7" s="19"/>
      <c r="F7" s="15"/>
      <c r="G7" s="19"/>
      <c r="H7" s="15"/>
    </row>
    <row r="8" spans="3:20" x14ac:dyDescent="0.25">
      <c r="C8" s="18"/>
      <c r="D8" s="19"/>
      <c r="E8" s="19"/>
      <c r="F8" s="15"/>
      <c r="G8" s="19"/>
      <c r="H8" s="15"/>
    </row>
    <row r="9" spans="3:20" ht="15.75" thickBot="1" x14ac:dyDescent="0.3">
      <c r="C9" s="18"/>
      <c r="D9" s="19"/>
      <c r="E9" s="19"/>
      <c r="F9" s="15"/>
      <c r="G9" s="19"/>
      <c r="H9" s="15"/>
    </row>
    <row r="10" spans="3:20" x14ac:dyDescent="0.25">
      <c r="C10" s="701" t="s">
        <v>2</v>
      </c>
      <c r="D10" s="702"/>
      <c r="E10" s="703"/>
      <c r="F10" s="701" t="s">
        <v>3</v>
      </c>
      <c r="G10" s="702"/>
      <c r="H10" s="703"/>
      <c r="I10" s="721"/>
      <c r="J10" s="722"/>
      <c r="K10" s="723"/>
      <c r="L10" s="701"/>
      <c r="M10" s="702"/>
      <c r="N10" s="703"/>
      <c r="O10" s="701"/>
      <c r="P10" s="702"/>
      <c r="Q10" s="703"/>
      <c r="R10" s="32"/>
      <c r="S10" s="32"/>
    </row>
    <row r="11" spans="3:20" x14ac:dyDescent="0.25">
      <c r="C11" s="704"/>
      <c r="D11" s="705"/>
      <c r="E11" s="706"/>
      <c r="F11" s="704"/>
      <c r="G11" s="705"/>
      <c r="H11" s="706"/>
      <c r="I11" s="704"/>
      <c r="J11" s="714"/>
      <c r="K11" s="706"/>
      <c r="L11" s="704"/>
      <c r="M11" s="714"/>
      <c r="N11" s="706"/>
      <c r="O11" s="704"/>
      <c r="P11" s="705"/>
      <c r="Q11" s="706"/>
      <c r="R11" s="33"/>
      <c r="S11" s="33"/>
    </row>
    <row r="12" spans="3:20" x14ac:dyDescent="0.25">
      <c r="C12" s="704"/>
      <c r="D12" s="705"/>
      <c r="E12" s="706"/>
      <c r="F12" s="704"/>
      <c r="G12" s="705"/>
      <c r="H12" s="706"/>
      <c r="I12" s="704"/>
      <c r="J12" s="714"/>
      <c r="K12" s="706"/>
      <c r="L12" s="704"/>
      <c r="M12" s="714"/>
      <c r="N12" s="706"/>
      <c r="O12" s="704"/>
      <c r="P12" s="705"/>
      <c r="Q12" s="706"/>
      <c r="R12" s="33"/>
      <c r="S12" s="33"/>
    </row>
    <row r="13" spans="3:20" x14ac:dyDescent="0.25">
      <c r="C13" s="704"/>
      <c r="D13" s="705"/>
      <c r="E13" s="706"/>
      <c r="F13" s="704"/>
      <c r="G13" s="705"/>
      <c r="H13" s="706"/>
      <c r="I13" s="704" t="s">
        <v>0</v>
      </c>
      <c r="J13" s="714"/>
      <c r="K13" s="706"/>
      <c r="L13" s="704" t="s">
        <v>4</v>
      </c>
      <c r="M13" s="714"/>
      <c r="N13" s="706"/>
      <c r="O13" s="704" t="s">
        <v>5</v>
      </c>
      <c r="P13" s="705"/>
      <c r="Q13" s="706"/>
      <c r="R13" s="33"/>
      <c r="S13" s="33"/>
    </row>
    <row r="14" spans="3:20" x14ac:dyDescent="0.25">
      <c r="C14" s="704"/>
      <c r="D14" s="705"/>
      <c r="E14" s="706"/>
      <c r="F14" s="704"/>
      <c r="G14" s="705"/>
      <c r="H14" s="706"/>
      <c r="I14" s="715"/>
      <c r="J14" s="716"/>
      <c r="K14" s="717"/>
      <c r="L14" s="715"/>
      <c r="M14" s="716"/>
      <c r="N14" s="717"/>
      <c r="O14" s="704"/>
      <c r="P14" s="705"/>
      <c r="Q14" s="706"/>
      <c r="R14" s="33"/>
      <c r="S14" s="33"/>
    </row>
    <row r="15" spans="3:20" ht="15.75" thickBot="1" x14ac:dyDescent="0.3">
      <c r="C15" s="718"/>
      <c r="D15" s="719"/>
      <c r="E15" s="720"/>
      <c r="F15" s="718"/>
      <c r="G15" s="719"/>
      <c r="H15" s="720"/>
      <c r="I15" s="696"/>
      <c r="J15" s="697"/>
      <c r="K15" s="698"/>
      <c r="L15" s="696"/>
      <c r="M15" s="697"/>
      <c r="N15" s="698"/>
      <c r="O15" s="707" t="s">
        <v>6</v>
      </c>
      <c r="P15" s="708"/>
      <c r="Q15" s="709"/>
      <c r="R15" s="34"/>
      <c r="S15" s="34"/>
      <c r="T15" s="27"/>
    </row>
    <row r="16" spans="3:20" ht="73.5" x14ac:dyDescent="0.25">
      <c r="C16" s="8" t="s">
        <v>7</v>
      </c>
      <c r="D16" s="699" t="s">
        <v>9</v>
      </c>
      <c r="E16" s="710" t="s">
        <v>10</v>
      </c>
      <c r="F16" s="10" t="s">
        <v>7</v>
      </c>
      <c r="G16" s="699" t="s">
        <v>9</v>
      </c>
      <c r="H16" s="12"/>
      <c r="I16" s="10" t="s">
        <v>7</v>
      </c>
      <c r="J16" s="699" t="s">
        <v>11</v>
      </c>
      <c r="K16" s="712" t="s">
        <v>10</v>
      </c>
      <c r="L16" s="10" t="s">
        <v>7</v>
      </c>
      <c r="M16" s="699" t="s">
        <v>9</v>
      </c>
      <c r="N16" s="712" t="s">
        <v>10</v>
      </c>
      <c r="O16" s="10" t="s">
        <v>7</v>
      </c>
      <c r="P16" s="699" t="s">
        <v>9</v>
      </c>
      <c r="Q16" s="710" t="s">
        <v>10</v>
      </c>
      <c r="R16" s="21" t="s">
        <v>17</v>
      </c>
      <c r="S16" s="21" t="s">
        <v>18</v>
      </c>
      <c r="T16" s="27"/>
    </row>
    <row r="17" spans="3:21" ht="15.75" thickBot="1" x14ac:dyDescent="0.3">
      <c r="C17" s="9" t="s">
        <v>8</v>
      </c>
      <c r="D17" s="700"/>
      <c r="E17" s="711"/>
      <c r="F17" s="11" t="s">
        <v>8</v>
      </c>
      <c r="G17" s="700"/>
      <c r="H17" s="13" t="s">
        <v>10</v>
      </c>
      <c r="I17" s="11" t="s">
        <v>8</v>
      </c>
      <c r="J17" s="700"/>
      <c r="K17" s="713"/>
      <c r="L17" s="11" t="s">
        <v>8</v>
      </c>
      <c r="M17" s="700"/>
      <c r="N17" s="713"/>
      <c r="O17" s="11" t="s">
        <v>8</v>
      </c>
      <c r="P17" s="700"/>
      <c r="Q17" s="711"/>
      <c r="R17" s="1"/>
      <c r="S17" s="1"/>
      <c r="T17" s="27"/>
    </row>
    <row r="18" spans="3:21" ht="15.75" thickBot="1" x14ac:dyDescent="0.3"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1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27"/>
    </row>
    <row r="19" spans="3:21" ht="15" customHeight="1" thickBot="1" x14ac:dyDescent="0.3">
      <c r="C19" s="35">
        <v>26210.2</v>
      </c>
      <c r="D19" s="36">
        <v>26006.400000000001</v>
      </c>
      <c r="E19" s="3">
        <v>203.8</v>
      </c>
      <c r="F19" s="36">
        <v>1293.9000000000001</v>
      </c>
      <c r="G19" s="36">
        <v>1117.3</v>
      </c>
      <c r="H19" s="3">
        <f>F19-G19</f>
        <v>176.60000000000014</v>
      </c>
      <c r="I19" s="36">
        <v>0</v>
      </c>
      <c r="J19" s="36"/>
      <c r="K19" s="5">
        <v>0</v>
      </c>
      <c r="L19" s="36">
        <v>0</v>
      </c>
      <c r="M19" s="37" t="s">
        <v>1</v>
      </c>
      <c r="N19" s="5">
        <v>0</v>
      </c>
      <c r="O19" s="36">
        <v>442.2</v>
      </c>
      <c r="P19" s="37">
        <v>442.2</v>
      </c>
      <c r="Q19" s="5">
        <v>0</v>
      </c>
      <c r="R19" s="38">
        <f>E19+H19+K19+N19+Q19</f>
        <v>380.40000000000015</v>
      </c>
      <c r="S19" s="39">
        <v>1.4E-2</v>
      </c>
      <c r="T19" s="30"/>
      <c r="U19" s="46">
        <f>R19/(C19+F19+I19+L19+O19)</f>
        <v>1.3611819811567187E-2</v>
      </c>
    </row>
    <row r="20" spans="3:21" ht="15.75" thickBot="1" x14ac:dyDescent="0.3">
      <c r="C20" s="40">
        <v>106483.9</v>
      </c>
      <c r="D20" s="7">
        <v>106216.6</v>
      </c>
      <c r="E20" s="4">
        <v>267.3</v>
      </c>
      <c r="F20" s="7">
        <v>1891.2</v>
      </c>
      <c r="G20" s="7">
        <v>1801</v>
      </c>
      <c r="H20" s="3">
        <f t="shared" ref="H20:H32" si="0">F20-G20</f>
        <v>90.200000000000045</v>
      </c>
      <c r="I20" s="7">
        <v>0</v>
      </c>
      <c r="J20" s="7" t="s">
        <v>1</v>
      </c>
      <c r="K20" s="5">
        <v>0</v>
      </c>
      <c r="L20" s="7">
        <v>5713.8</v>
      </c>
      <c r="M20" s="41">
        <v>5713</v>
      </c>
      <c r="N20" s="6">
        <v>0.8</v>
      </c>
      <c r="O20" s="7">
        <v>3099.2</v>
      </c>
      <c r="P20" s="14">
        <v>3099.2</v>
      </c>
      <c r="Q20" s="6">
        <v>0</v>
      </c>
      <c r="R20" s="38">
        <f t="shared" ref="R20:R31" si="1">E20+H20+K20+N20+Q20</f>
        <v>358.30000000000007</v>
      </c>
      <c r="S20" s="39">
        <v>3.0000000000000001E-3</v>
      </c>
      <c r="T20" s="30"/>
      <c r="U20" s="46">
        <f t="shared" ref="U20:U32" si="2">R20/(C20+F20+I20+L20+O20)</f>
        <v>3.0574776790476175E-3</v>
      </c>
    </row>
    <row r="21" spans="3:21" ht="15.75" customHeight="1" thickBot="1" x14ac:dyDescent="0.3">
      <c r="C21" s="40">
        <v>22345.9</v>
      </c>
      <c r="D21" s="7">
        <v>22322.1</v>
      </c>
      <c r="E21" s="4">
        <v>23.8</v>
      </c>
      <c r="F21" s="7">
        <v>3689.2</v>
      </c>
      <c r="G21" s="7">
        <v>3345.2</v>
      </c>
      <c r="H21" s="47">
        <f t="shared" si="0"/>
        <v>344</v>
      </c>
      <c r="I21" s="7">
        <v>0</v>
      </c>
      <c r="J21" s="7" t="s">
        <v>1</v>
      </c>
      <c r="K21" s="5">
        <v>0</v>
      </c>
      <c r="L21" s="7">
        <v>11429</v>
      </c>
      <c r="M21" s="41">
        <v>10229</v>
      </c>
      <c r="N21" s="28">
        <v>1200</v>
      </c>
      <c r="O21" s="7">
        <v>700</v>
      </c>
      <c r="P21" s="14">
        <v>700</v>
      </c>
      <c r="Q21" s="6">
        <v>0</v>
      </c>
      <c r="R21" s="38">
        <f t="shared" si="1"/>
        <v>1567.8</v>
      </c>
      <c r="S21" s="39">
        <v>4.1000000000000002E-2</v>
      </c>
      <c r="T21" s="30"/>
      <c r="U21" s="46">
        <f>R21/(C21+F21+I21+L21+O21)</f>
        <v>4.1080491875872871E-2</v>
      </c>
    </row>
    <row r="22" spans="3:21" ht="15" customHeight="1" thickBot="1" x14ac:dyDescent="0.3">
      <c r="C22" s="40">
        <v>49672</v>
      </c>
      <c r="D22" s="7">
        <v>49284.7</v>
      </c>
      <c r="E22" s="4">
        <v>387.3</v>
      </c>
      <c r="F22" s="7">
        <v>1182.8</v>
      </c>
      <c r="G22" s="7">
        <v>1131.5</v>
      </c>
      <c r="H22" s="3">
        <f t="shared" si="0"/>
        <v>51.299999999999955</v>
      </c>
      <c r="I22" s="7">
        <v>0</v>
      </c>
      <c r="J22" s="7" t="s">
        <v>1</v>
      </c>
      <c r="K22" s="5">
        <v>0</v>
      </c>
      <c r="L22" s="7">
        <v>4500</v>
      </c>
      <c r="M22" s="14">
        <v>3715.6</v>
      </c>
      <c r="N22" s="6">
        <v>784.4</v>
      </c>
      <c r="O22" s="7">
        <v>2500</v>
      </c>
      <c r="P22" s="14">
        <v>2500</v>
      </c>
      <c r="Q22" s="6">
        <v>0</v>
      </c>
      <c r="R22" s="38">
        <f t="shared" si="1"/>
        <v>1223</v>
      </c>
      <c r="S22" s="39">
        <v>2.1000000000000001E-2</v>
      </c>
      <c r="T22" s="30"/>
      <c r="U22" s="46">
        <f t="shared" si="2"/>
        <v>2.1139127609117996E-2</v>
      </c>
    </row>
    <row r="23" spans="3:21" ht="15.75" thickBot="1" x14ac:dyDescent="0.3">
      <c r="C23" s="40">
        <v>17523.3</v>
      </c>
      <c r="D23" s="7">
        <v>14834.9</v>
      </c>
      <c r="E23" s="4">
        <v>2688.4</v>
      </c>
      <c r="F23" s="7">
        <v>1195.4000000000001</v>
      </c>
      <c r="G23" s="7">
        <v>989.4</v>
      </c>
      <c r="H23" s="3">
        <f t="shared" si="0"/>
        <v>206.00000000000011</v>
      </c>
      <c r="I23" s="7">
        <v>0</v>
      </c>
      <c r="J23" s="7" t="s">
        <v>1</v>
      </c>
      <c r="K23" s="5">
        <v>0</v>
      </c>
      <c r="L23" s="7">
        <v>0</v>
      </c>
      <c r="M23" s="14">
        <v>0</v>
      </c>
      <c r="N23" s="6">
        <v>0</v>
      </c>
      <c r="O23" s="7">
        <v>721.2</v>
      </c>
      <c r="P23" s="14">
        <v>721.2</v>
      </c>
      <c r="Q23" s="6">
        <v>0</v>
      </c>
      <c r="R23" s="38">
        <f t="shared" si="1"/>
        <v>2894.4</v>
      </c>
      <c r="S23" s="39">
        <v>0.14899999999999999</v>
      </c>
      <c r="T23" s="30"/>
      <c r="U23" s="46">
        <f t="shared" si="2"/>
        <v>0.14888965478217481</v>
      </c>
    </row>
    <row r="24" spans="3:21" ht="15.75" thickBot="1" x14ac:dyDescent="0.3">
      <c r="C24" s="40">
        <v>85462.9</v>
      </c>
      <c r="D24" s="7">
        <v>85426.7</v>
      </c>
      <c r="E24" s="4">
        <v>36.200000000000003</v>
      </c>
      <c r="F24" s="7">
        <v>337</v>
      </c>
      <c r="G24" s="7">
        <v>337</v>
      </c>
      <c r="H24" s="3">
        <f t="shared" si="0"/>
        <v>0</v>
      </c>
      <c r="I24" s="7">
        <v>3136.7</v>
      </c>
      <c r="J24" s="7">
        <v>3136.7</v>
      </c>
      <c r="K24" s="6">
        <v>0</v>
      </c>
      <c r="L24" s="7">
        <v>0</v>
      </c>
      <c r="M24" s="14">
        <v>0</v>
      </c>
      <c r="N24" s="6">
        <v>0</v>
      </c>
      <c r="O24" s="7">
        <v>1739.5</v>
      </c>
      <c r="P24" s="14">
        <v>1739.5</v>
      </c>
      <c r="Q24" s="6">
        <v>0</v>
      </c>
      <c r="R24" s="38">
        <f t="shared" si="1"/>
        <v>36.200000000000003</v>
      </c>
      <c r="S24" s="39">
        <v>4.0000000000000001E-3</v>
      </c>
      <c r="T24" s="30"/>
      <c r="U24" s="46">
        <f t="shared" si="2"/>
        <v>3.9922316905998388E-4</v>
      </c>
    </row>
    <row r="25" spans="3:21" ht="15.75" thickBot="1" x14ac:dyDescent="0.3">
      <c r="C25" s="40">
        <v>11724.5</v>
      </c>
      <c r="D25" s="7">
        <v>10564.7</v>
      </c>
      <c r="E25" s="4">
        <v>1159.8</v>
      </c>
      <c r="F25" s="7">
        <v>419.8</v>
      </c>
      <c r="G25" s="7">
        <v>50</v>
      </c>
      <c r="H25" s="3">
        <f t="shared" si="0"/>
        <v>369.8</v>
      </c>
      <c r="I25" s="7">
        <v>0</v>
      </c>
      <c r="J25" s="7" t="s">
        <v>1</v>
      </c>
      <c r="K25" s="6">
        <v>0</v>
      </c>
      <c r="L25" s="7">
        <v>0</v>
      </c>
      <c r="M25" s="14">
        <v>0</v>
      </c>
      <c r="N25" s="6">
        <v>0</v>
      </c>
      <c r="O25" s="7">
        <v>2582</v>
      </c>
      <c r="P25" s="14">
        <v>2497.1</v>
      </c>
      <c r="Q25" s="6">
        <v>84.9</v>
      </c>
      <c r="R25" s="38">
        <f t="shared" si="1"/>
        <v>1614.5</v>
      </c>
      <c r="S25" s="39">
        <v>0.11</v>
      </c>
      <c r="T25" s="30"/>
      <c r="U25" s="46">
        <f t="shared" si="2"/>
        <v>0.10963378445366453</v>
      </c>
    </row>
    <row r="26" spans="3:21" ht="15.75" thickBot="1" x14ac:dyDescent="0.3">
      <c r="C26" s="40">
        <v>82145.899999999994</v>
      </c>
      <c r="D26" s="7">
        <v>81190.899999999994</v>
      </c>
      <c r="E26" s="4">
        <v>955</v>
      </c>
      <c r="F26" s="7">
        <v>3741.3</v>
      </c>
      <c r="G26" s="7">
        <v>3307.8</v>
      </c>
      <c r="H26" s="3">
        <f t="shared" si="0"/>
        <v>433.5</v>
      </c>
      <c r="I26" s="7">
        <v>0</v>
      </c>
      <c r="J26" s="7" t="s">
        <v>1</v>
      </c>
      <c r="K26" s="6">
        <v>0</v>
      </c>
      <c r="L26" s="7">
        <v>0</v>
      </c>
      <c r="M26" s="14">
        <v>0</v>
      </c>
      <c r="N26" s="6">
        <v>0</v>
      </c>
      <c r="O26" s="7">
        <v>148499.79999999999</v>
      </c>
      <c r="P26" s="14">
        <v>148499.79999999999</v>
      </c>
      <c r="Q26" s="6">
        <v>0</v>
      </c>
      <c r="R26" s="38">
        <f t="shared" si="1"/>
        <v>1388.5</v>
      </c>
      <c r="S26" s="39">
        <v>6.0000000000000001E-3</v>
      </c>
      <c r="T26" s="30"/>
      <c r="U26" s="46">
        <f t="shared" si="2"/>
        <v>5.923963359742648E-3</v>
      </c>
    </row>
    <row r="27" spans="3:21" ht="15.75" thickBot="1" x14ac:dyDescent="0.3">
      <c r="C27" s="40">
        <v>4097.1000000000004</v>
      </c>
      <c r="D27" s="7">
        <v>4022</v>
      </c>
      <c r="E27" s="4">
        <v>75.099999999999994</v>
      </c>
      <c r="F27" s="7">
        <v>1143.5</v>
      </c>
      <c r="G27" s="7">
        <v>820.1</v>
      </c>
      <c r="H27" s="3">
        <f t="shared" si="0"/>
        <v>323.39999999999998</v>
      </c>
      <c r="I27" s="7">
        <v>50219</v>
      </c>
      <c r="J27" s="7">
        <v>49967.9</v>
      </c>
      <c r="K27" s="6">
        <v>251.1</v>
      </c>
      <c r="L27" s="7">
        <v>11126.4</v>
      </c>
      <c r="M27" s="14">
        <v>10500</v>
      </c>
      <c r="N27" s="6">
        <v>626.4</v>
      </c>
      <c r="O27" s="7">
        <v>5114.7</v>
      </c>
      <c r="P27" s="14">
        <v>5114.7</v>
      </c>
      <c r="Q27" s="6">
        <v>0</v>
      </c>
      <c r="R27" s="38">
        <f t="shared" si="1"/>
        <v>1276</v>
      </c>
      <c r="S27" s="39">
        <v>1.7999999999999999E-2</v>
      </c>
      <c r="T27" s="30"/>
      <c r="U27" s="46">
        <f t="shared" si="2"/>
        <v>1.7796200037098663E-2</v>
      </c>
    </row>
    <row r="28" spans="3:21" ht="15.75" thickBot="1" x14ac:dyDescent="0.3">
      <c r="C28" s="40">
        <v>7294.1</v>
      </c>
      <c r="D28" s="7">
        <v>7294.1</v>
      </c>
      <c r="E28" s="4">
        <v>0</v>
      </c>
      <c r="F28" s="7">
        <v>2033.4</v>
      </c>
      <c r="G28" s="7">
        <v>1758.7</v>
      </c>
      <c r="H28" s="3">
        <f t="shared" si="0"/>
        <v>274.70000000000005</v>
      </c>
      <c r="I28" s="7">
        <v>0</v>
      </c>
      <c r="J28" s="7" t="s">
        <v>1</v>
      </c>
      <c r="K28" s="6">
        <v>0</v>
      </c>
      <c r="L28" s="7">
        <v>0</v>
      </c>
      <c r="M28" s="14">
        <v>0</v>
      </c>
      <c r="N28" s="6">
        <v>0</v>
      </c>
      <c r="O28" s="7">
        <v>1218</v>
      </c>
      <c r="P28" s="14">
        <v>1218</v>
      </c>
      <c r="Q28" s="6">
        <v>0</v>
      </c>
      <c r="R28" s="38">
        <f t="shared" si="1"/>
        <v>274.70000000000005</v>
      </c>
      <c r="S28" s="39">
        <v>2.5999999999999999E-2</v>
      </c>
      <c r="T28" s="30"/>
      <c r="U28" s="46">
        <f t="shared" si="2"/>
        <v>2.6049025650751508E-2</v>
      </c>
    </row>
    <row r="29" spans="3:21" ht="15.75" thickBot="1" x14ac:dyDescent="0.3">
      <c r="C29" s="40">
        <v>30096.400000000001</v>
      </c>
      <c r="D29" s="7">
        <v>29504.3</v>
      </c>
      <c r="E29" s="4">
        <v>592.1</v>
      </c>
      <c r="F29" s="7">
        <v>1028.4000000000001</v>
      </c>
      <c r="G29" s="7">
        <v>987.9</v>
      </c>
      <c r="H29" s="3">
        <f t="shared" si="0"/>
        <v>40.500000000000114</v>
      </c>
      <c r="I29" s="7">
        <v>0</v>
      </c>
      <c r="J29" s="7" t="s">
        <v>1</v>
      </c>
      <c r="K29" s="6">
        <v>0</v>
      </c>
      <c r="L29" s="7">
        <v>0</v>
      </c>
      <c r="M29" s="14">
        <v>0</v>
      </c>
      <c r="N29" s="6">
        <v>0</v>
      </c>
      <c r="O29" s="7">
        <v>690</v>
      </c>
      <c r="P29" s="14">
        <v>690</v>
      </c>
      <c r="Q29" s="6">
        <v>0</v>
      </c>
      <c r="R29" s="38">
        <f t="shared" si="1"/>
        <v>632.60000000000014</v>
      </c>
      <c r="S29" s="39">
        <v>2.1000000000000001E-2</v>
      </c>
      <c r="T29" s="30"/>
      <c r="U29" s="46">
        <f t="shared" si="2"/>
        <v>1.9883827652539071E-2</v>
      </c>
    </row>
    <row r="30" spans="3:21" ht="15.75" thickBot="1" x14ac:dyDescent="0.3">
      <c r="C30" s="40">
        <v>20287.7</v>
      </c>
      <c r="D30" s="7">
        <v>17222.099999999999</v>
      </c>
      <c r="E30" s="4">
        <v>3065.6</v>
      </c>
      <c r="F30" s="7">
        <v>3236.9</v>
      </c>
      <c r="G30" s="7">
        <v>2801.2</v>
      </c>
      <c r="H30" s="3">
        <f t="shared" si="0"/>
        <v>435.70000000000027</v>
      </c>
      <c r="I30" s="7">
        <v>0</v>
      </c>
      <c r="J30" s="7" t="s">
        <v>1</v>
      </c>
      <c r="K30" s="6">
        <v>0</v>
      </c>
      <c r="L30" s="7">
        <v>0</v>
      </c>
      <c r="M30" s="14">
        <v>0</v>
      </c>
      <c r="N30" s="6">
        <v>0</v>
      </c>
      <c r="O30" s="7">
        <v>8944.4</v>
      </c>
      <c r="P30" s="14">
        <v>8944.4</v>
      </c>
      <c r="Q30" s="6">
        <v>0</v>
      </c>
      <c r="R30" s="38">
        <f t="shared" si="1"/>
        <v>3501.3</v>
      </c>
      <c r="S30" s="39">
        <v>0.108</v>
      </c>
      <c r="T30" s="30"/>
      <c r="U30" s="46">
        <f>R30/(C30+F30+I30+L30+O30)</f>
        <v>0.10783516585050357</v>
      </c>
    </row>
    <row r="31" spans="3:21" ht="15.75" thickBot="1" x14ac:dyDescent="0.3">
      <c r="C31" s="40">
        <v>19018.599999999999</v>
      </c>
      <c r="D31" s="7">
        <v>17915.5</v>
      </c>
      <c r="E31" s="4">
        <v>1103.0999999999999</v>
      </c>
      <c r="F31" s="7">
        <v>689.3</v>
      </c>
      <c r="G31" s="7">
        <v>689.3</v>
      </c>
      <c r="H31" s="3">
        <f t="shared" si="0"/>
        <v>0</v>
      </c>
      <c r="I31" s="7">
        <v>0</v>
      </c>
      <c r="J31" s="7" t="s">
        <v>1</v>
      </c>
      <c r="K31" s="6">
        <v>0</v>
      </c>
      <c r="L31" s="7">
        <v>27990.2</v>
      </c>
      <c r="M31" s="14">
        <v>25103.8</v>
      </c>
      <c r="N31" s="6">
        <v>2886.4</v>
      </c>
      <c r="O31" s="7">
        <v>2384.9</v>
      </c>
      <c r="P31" s="14">
        <v>2216.9</v>
      </c>
      <c r="Q31" s="6">
        <v>168</v>
      </c>
      <c r="R31" s="38">
        <f t="shared" si="1"/>
        <v>4157.5</v>
      </c>
      <c r="S31" s="39">
        <v>8.3000000000000004E-2</v>
      </c>
      <c r="T31" s="30"/>
      <c r="U31" s="46">
        <f t="shared" si="2"/>
        <v>8.3012199748417628E-2</v>
      </c>
    </row>
    <row r="32" spans="3:21" ht="15.75" thickBot="1" x14ac:dyDescent="0.3">
      <c r="C32" s="42">
        <v>164021.4</v>
      </c>
      <c r="D32" s="34">
        <v>161162.9</v>
      </c>
      <c r="E32" s="22">
        <v>2858.5</v>
      </c>
      <c r="F32" s="34">
        <v>850</v>
      </c>
      <c r="G32" s="34">
        <v>538</v>
      </c>
      <c r="H32" s="3">
        <f t="shared" si="0"/>
        <v>312</v>
      </c>
      <c r="I32" s="7">
        <v>0</v>
      </c>
      <c r="J32" s="34" t="s">
        <v>1</v>
      </c>
      <c r="K32" s="23">
        <v>0</v>
      </c>
      <c r="L32" s="34">
        <v>0</v>
      </c>
      <c r="M32" s="43" t="s">
        <v>1</v>
      </c>
      <c r="N32" s="23">
        <v>0</v>
      </c>
      <c r="O32" s="34">
        <v>7751</v>
      </c>
      <c r="P32" s="43">
        <v>7751</v>
      </c>
      <c r="Q32" s="23">
        <v>0</v>
      </c>
      <c r="R32" s="38">
        <f>E32+H32+K32+N32+Q32</f>
        <v>3170.5</v>
      </c>
      <c r="S32" s="39">
        <v>1.7999999999999999E-2</v>
      </c>
      <c r="T32" s="30"/>
      <c r="U32" s="46">
        <f t="shared" si="2"/>
        <v>1.8366677789209279E-2</v>
      </c>
    </row>
    <row r="33" spans="3:21" ht="15.75" thickBot="1" x14ac:dyDescent="0.3">
      <c r="C33" s="44">
        <f>SUM(C19:C32)</f>
        <v>646383.89999999991</v>
      </c>
      <c r="D33" s="45">
        <f t="shared" ref="D33:G33" si="3">SUM(D19:D32)</f>
        <v>632967.89999999991</v>
      </c>
      <c r="E33" s="24">
        <f>SUM(E19:E32)</f>
        <v>13416.000000000002</v>
      </c>
      <c r="F33" s="45">
        <f t="shared" si="3"/>
        <v>22732.100000000002</v>
      </c>
      <c r="G33" s="45">
        <f t="shared" si="3"/>
        <v>19674.400000000001</v>
      </c>
      <c r="H33" s="24">
        <f>SUM(H19:H32)</f>
        <v>3057.7000000000003</v>
      </c>
      <c r="I33" s="45">
        <f t="shared" ref="I33" si="4">SUM(I19:I32)</f>
        <v>53355.7</v>
      </c>
      <c r="J33" s="45">
        <f t="shared" ref="J33" si="5">SUM(J19:J32)</f>
        <v>53104.6</v>
      </c>
      <c r="K33" s="24">
        <f t="shared" ref="K33" si="6">SUM(K19:K32)</f>
        <v>251.1</v>
      </c>
      <c r="L33" s="45">
        <f t="shared" ref="L33" si="7">SUM(L19:L32)</f>
        <v>60759.399999999994</v>
      </c>
      <c r="M33" s="45">
        <f t="shared" ref="M33" si="8">SUM(M19:M32)</f>
        <v>55261.399999999994</v>
      </c>
      <c r="N33" s="24">
        <f>SUM(N19:N32)</f>
        <v>5498</v>
      </c>
      <c r="O33" s="45">
        <f t="shared" ref="O33" si="9">SUM(O19:O32)</f>
        <v>186386.9</v>
      </c>
      <c r="P33" s="45">
        <f t="shared" ref="P33" si="10">SUM(P19:P32)</f>
        <v>186134</v>
      </c>
      <c r="Q33" s="25">
        <f t="shared" ref="Q33" si="11">SUM(Q19:Q32)</f>
        <v>252.9</v>
      </c>
      <c r="R33" s="38">
        <f>SUM(R19:R32)</f>
        <v>22475.7</v>
      </c>
      <c r="S33" s="39">
        <v>2.3E-2</v>
      </c>
      <c r="T33" s="30"/>
      <c r="U33" s="46">
        <f>R33/(C33+F33+I33+L33+O33)</f>
        <v>2.3179953342450328E-2</v>
      </c>
    </row>
    <row r="35" spans="3:21" x14ac:dyDescent="0.25">
      <c r="F35" s="2"/>
    </row>
    <row r="36" spans="3:21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3:21" x14ac:dyDescent="0.25">
      <c r="C37" s="26"/>
      <c r="D37" s="26"/>
    </row>
    <row r="38" spans="3:21" x14ac:dyDescent="0.25">
      <c r="C38" s="26" t="s">
        <v>13</v>
      </c>
      <c r="D38" s="20"/>
      <c r="E38" s="29">
        <f>C33+F33+I33+L33+O33</f>
        <v>969617.99999999988</v>
      </c>
      <c r="H38" s="26" t="s">
        <v>16</v>
      </c>
      <c r="I38" s="26"/>
      <c r="J38" s="20">
        <f>E33+H33+K33+N33+Q33</f>
        <v>22475.7</v>
      </c>
    </row>
    <row r="39" spans="3:21" x14ac:dyDescent="0.25">
      <c r="C39" s="26" t="s">
        <v>12</v>
      </c>
      <c r="D39" s="26"/>
      <c r="E39" s="29">
        <f>D33+G33+J33+M33+P33</f>
        <v>947142.29999999993</v>
      </c>
      <c r="F39" s="31" t="s">
        <v>20</v>
      </c>
      <c r="L39" s="2"/>
    </row>
    <row r="40" spans="3:21" x14ac:dyDescent="0.25">
      <c r="C40" s="26" t="s">
        <v>15</v>
      </c>
      <c r="E40" s="29">
        <f>D33+G33+J33+M33</f>
        <v>761008.29999999993</v>
      </c>
      <c r="F40" s="31" t="s">
        <v>21</v>
      </c>
      <c r="H40" s="26" t="s">
        <v>19</v>
      </c>
      <c r="J40" s="48">
        <f>J38/E38</f>
        <v>2.3179953342450328E-2</v>
      </c>
    </row>
    <row r="41" spans="3:21" x14ac:dyDescent="0.25">
      <c r="C41" s="26" t="s">
        <v>14</v>
      </c>
      <c r="E41" s="29">
        <f>P33</f>
        <v>186134</v>
      </c>
      <c r="F41" s="31" t="s">
        <v>22</v>
      </c>
    </row>
    <row r="42" spans="3:21" x14ac:dyDescent="0.25">
      <c r="F42" s="31"/>
    </row>
    <row r="43" spans="3:21" x14ac:dyDescent="0.25">
      <c r="F43" s="2"/>
    </row>
  </sheetData>
  <mergeCells count="29">
    <mergeCell ref="D16:D17"/>
    <mergeCell ref="E16:E17"/>
    <mergeCell ref="C10:E15"/>
    <mergeCell ref="F10:H15"/>
    <mergeCell ref="I10:K10"/>
    <mergeCell ref="I11:K11"/>
    <mergeCell ref="I12:K12"/>
    <mergeCell ref="I13:K13"/>
    <mergeCell ref="I14:K14"/>
    <mergeCell ref="I15:K15"/>
    <mergeCell ref="G16:G17"/>
    <mergeCell ref="J16:J17"/>
    <mergeCell ref="K16:K17"/>
    <mergeCell ref="L15:N15"/>
    <mergeCell ref="P16:P17"/>
    <mergeCell ref="O10:Q10"/>
    <mergeCell ref="O11:Q11"/>
    <mergeCell ref="O12:Q12"/>
    <mergeCell ref="O13:Q13"/>
    <mergeCell ref="O14:Q14"/>
    <mergeCell ref="O15:Q15"/>
    <mergeCell ref="Q16:Q17"/>
    <mergeCell ref="M16:M17"/>
    <mergeCell ref="N16:N17"/>
    <mergeCell ref="L10:N10"/>
    <mergeCell ref="L11:N11"/>
    <mergeCell ref="L12:N12"/>
    <mergeCell ref="L13:N13"/>
    <mergeCell ref="L14:N14"/>
  </mergeCells>
  <pageMargins left="0" right="0" top="0" bottom="0" header="0" footer="0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topLeftCell="A59" zoomScaleNormal="100" workbookViewId="0">
      <selection activeCell="V72" sqref="V72"/>
    </sheetView>
  </sheetViews>
  <sheetFormatPr defaultRowHeight="15" x14ac:dyDescent="0.25"/>
  <cols>
    <col min="1" max="1" width="3.42578125" customWidth="1"/>
    <col min="3" max="3" width="8.710937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8.14062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21" max="21" width="10.5703125" customWidth="1"/>
  </cols>
  <sheetData>
    <row r="1" spans="1:22" x14ac:dyDescent="0.25">
      <c r="R1" s="26" t="s">
        <v>24</v>
      </c>
      <c r="S1" s="26"/>
    </row>
    <row r="2" spans="1:22" ht="18.75" x14ac:dyDescent="0.25">
      <c r="D2" s="736" t="s">
        <v>26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</row>
    <row r="3" spans="1:22" ht="24.75" customHeight="1" x14ac:dyDescent="0.25">
      <c r="F3" s="62"/>
      <c r="G3" s="736" t="s">
        <v>25</v>
      </c>
      <c r="H3" s="737"/>
      <c r="I3" s="737"/>
      <c r="J3" s="737"/>
      <c r="K3" s="737"/>
      <c r="L3" s="737"/>
      <c r="M3" s="737"/>
      <c r="N3" s="737"/>
      <c r="O3" s="62"/>
      <c r="P3" s="62"/>
    </row>
    <row r="4" spans="1:22" x14ac:dyDescent="0.25">
      <c r="D4" s="18"/>
      <c r="E4" s="19"/>
      <c r="F4" s="19"/>
      <c r="G4" s="15"/>
      <c r="H4" s="19"/>
      <c r="I4" s="15"/>
    </row>
    <row r="5" spans="1:22" ht="12" customHeight="1" thickBot="1" x14ac:dyDescent="0.3">
      <c r="D5" s="18"/>
      <c r="E5" s="19"/>
      <c r="F5" s="19"/>
      <c r="G5" s="15"/>
      <c r="H5" s="19"/>
      <c r="I5" s="15"/>
      <c r="R5" s="739" t="s">
        <v>27</v>
      </c>
      <c r="S5" s="739"/>
      <c r="T5" s="739"/>
    </row>
    <row r="6" spans="1:22" ht="15" customHeight="1" x14ac:dyDescent="0.25">
      <c r="A6" s="732" t="s">
        <v>28</v>
      </c>
      <c r="B6" s="702" t="s">
        <v>29</v>
      </c>
      <c r="C6" s="703"/>
      <c r="D6" s="701" t="s">
        <v>2</v>
      </c>
      <c r="E6" s="702"/>
      <c r="F6" s="703"/>
      <c r="G6" s="702" t="s">
        <v>3</v>
      </c>
      <c r="H6" s="702"/>
      <c r="I6" s="703"/>
      <c r="J6" s="721"/>
      <c r="K6" s="722"/>
      <c r="L6" s="723"/>
      <c r="M6" s="701"/>
      <c r="N6" s="702"/>
      <c r="O6" s="702"/>
      <c r="P6" s="701"/>
      <c r="Q6" s="702"/>
      <c r="R6" s="703"/>
      <c r="S6" s="32"/>
      <c r="T6" s="52"/>
    </row>
    <row r="7" spans="1:22" ht="15" customHeight="1" x14ac:dyDescent="0.25">
      <c r="A7" s="733"/>
      <c r="B7" s="705"/>
      <c r="C7" s="706"/>
      <c r="D7" s="704"/>
      <c r="E7" s="705"/>
      <c r="F7" s="706"/>
      <c r="G7" s="705"/>
      <c r="H7" s="705"/>
      <c r="I7" s="706"/>
      <c r="J7" s="704"/>
      <c r="K7" s="705"/>
      <c r="L7" s="706"/>
      <c r="M7" s="704"/>
      <c r="N7" s="705"/>
      <c r="O7" s="705"/>
      <c r="P7" s="704"/>
      <c r="Q7" s="705"/>
      <c r="R7" s="706"/>
      <c r="S7" s="33"/>
      <c r="T7" s="57"/>
    </row>
    <row r="8" spans="1:22" x14ac:dyDescent="0.25">
      <c r="A8" s="733"/>
      <c r="B8" s="705"/>
      <c r="C8" s="706"/>
      <c r="D8" s="704"/>
      <c r="E8" s="705"/>
      <c r="F8" s="706"/>
      <c r="G8" s="705"/>
      <c r="H8" s="705"/>
      <c r="I8" s="706"/>
      <c r="J8" s="704"/>
      <c r="K8" s="705"/>
      <c r="L8" s="706"/>
      <c r="M8" s="704"/>
      <c r="N8" s="705"/>
      <c r="O8" s="705"/>
      <c r="P8" s="704"/>
      <c r="Q8" s="705"/>
      <c r="R8" s="706"/>
      <c r="S8" s="33"/>
      <c r="T8" s="57"/>
    </row>
    <row r="9" spans="1:22" x14ac:dyDescent="0.25">
      <c r="A9" s="733"/>
      <c r="B9" s="705"/>
      <c r="C9" s="706"/>
      <c r="D9" s="704"/>
      <c r="E9" s="705"/>
      <c r="F9" s="706"/>
      <c r="G9" s="705"/>
      <c r="H9" s="705"/>
      <c r="I9" s="706"/>
      <c r="J9" s="704" t="s">
        <v>0</v>
      </c>
      <c r="K9" s="705"/>
      <c r="L9" s="706"/>
      <c r="M9" s="704" t="s">
        <v>4</v>
      </c>
      <c r="N9" s="705"/>
      <c r="O9" s="705"/>
      <c r="P9" s="704" t="s">
        <v>5</v>
      </c>
      <c r="Q9" s="705"/>
      <c r="R9" s="706"/>
      <c r="S9" s="33"/>
      <c r="T9" s="57"/>
    </row>
    <row r="10" spans="1:22" x14ac:dyDescent="0.25">
      <c r="A10" s="733"/>
      <c r="B10" s="705"/>
      <c r="C10" s="706"/>
      <c r="D10" s="704"/>
      <c r="E10" s="705"/>
      <c r="F10" s="706"/>
      <c r="G10" s="705"/>
      <c r="H10" s="705"/>
      <c r="I10" s="706"/>
      <c r="J10" s="715"/>
      <c r="K10" s="740"/>
      <c r="L10" s="717"/>
      <c r="M10" s="715"/>
      <c r="N10" s="740"/>
      <c r="O10" s="740"/>
      <c r="P10" s="742" t="s">
        <v>40</v>
      </c>
      <c r="Q10" s="743"/>
      <c r="R10" s="744"/>
      <c r="S10" s="33"/>
      <c r="T10" s="57"/>
    </row>
    <row r="11" spans="1:22" ht="15.75" thickBot="1" x14ac:dyDescent="0.3">
      <c r="A11" s="733"/>
      <c r="B11" s="719"/>
      <c r="C11" s="720"/>
      <c r="D11" s="718"/>
      <c r="E11" s="719"/>
      <c r="F11" s="720"/>
      <c r="G11" s="719"/>
      <c r="H11" s="719"/>
      <c r="I11" s="720"/>
      <c r="J11" s="696"/>
      <c r="K11" s="697"/>
      <c r="L11" s="698"/>
      <c r="M11" s="696"/>
      <c r="N11" s="697"/>
      <c r="O11" s="697"/>
      <c r="P11" s="53"/>
      <c r="Q11" s="55"/>
      <c r="R11" s="54"/>
      <c r="S11" s="34"/>
      <c r="T11" s="43"/>
      <c r="U11" s="27"/>
    </row>
    <row r="12" spans="1:22" ht="72" customHeight="1" thickBot="1" x14ac:dyDescent="0.3">
      <c r="A12" s="21"/>
      <c r="B12" s="702" t="s">
        <v>30</v>
      </c>
      <c r="C12" s="703"/>
      <c r="D12" s="67" t="s">
        <v>37</v>
      </c>
      <c r="E12" s="699" t="s">
        <v>9</v>
      </c>
      <c r="F12" s="710" t="s">
        <v>39</v>
      </c>
      <c r="G12" s="67" t="s">
        <v>38</v>
      </c>
      <c r="H12" s="699" t="s">
        <v>9</v>
      </c>
      <c r="I12" s="710" t="s">
        <v>39</v>
      </c>
      <c r="J12" s="67" t="s">
        <v>38</v>
      </c>
      <c r="K12" s="699" t="s">
        <v>11</v>
      </c>
      <c r="L12" s="710" t="s">
        <v>39</v>
      </c>
      <c r="M12" s="67" t="s">
        <v>38</v>
      </c>
      <c r="N12" s="699" t="s">
        <v>9</v>
      </c>
      <c r="O12" s="710" t="s">
        <v>39</v>
      </c>
      <c r="P12" s="67" t="s">
        <v>38</v>
      </c>
      <c r="Q12" s="699" t="s">
        <v>9</v>
      </c>
      <c r="R12" s="710" t="s">
        <v>39</v>
      </c>
      <c r="S12" s="1" t="s">
        <v>17</v>
      </c>
      <c r="T12" s="50" t="s">
        <v>18</v>
      </c>
      <c r="U12" s="27"/>
    </row>
    <row r="13" spans="1:22" ht="15.75" hidden="1" customHeight="1" thickBot="1" x14ac:dyDescent="0.3">
      <c r="A13" s="21"/>
      <c r="B13" s="58"/>
      <c r="C13" s="58"/>
      <c r="D13" s="68" t="s">
        <v>8</v>
      </c>
      <c r="E13" s="741"/>
      <c r="F13" s="711"/>
      <c r="G13" s="11" t="s">
        <v>8</v>
      </c>
      <c r="H13" s="700"/>
      <c r="I13" s="711"/>
      <c r="J13" s="11" t="s">
        <v>8</v>
      </c>
      <c r="K13" s="700"/>
      <c r="L13" s="711"/>
      <c r="M13" s="11" t="s">
        <v>8</v>
      </c>
      <c r="N13" s="700"/>
      <c r="O13" s="711"/>
      <c r="P13" s="11" t="s">
        <v>8</v>
      </c>
      <c r="Q13" s="700"/>
      <c r="R13" s="711"/>
      <c r="S13" s="1"/>
      <c r="T13" s="1"/>
      <c r="U13" s="27"/>
    </row>
    <row r="14" spans="1:22" ht="15.75" thickBot="1" x14ac:dyDescent="0.3">
      <c r="A14" s="63">
        <v>1</v>
      </c>
      <c r="B14" s="734">
        <v>2</v>
      </c>
      <c r="C14" s="735"/>
      <c r="D14" s="21">
        <v>3</v>
      </c>
      <c r="E14" s="81">
        <v>4</v>
      </c>
      <c r="F14" s="82">
        <v>5</v>
      </c>
      <c r="G14" s="49">
        <v>6</v>
      </c>
      <c r="H14" s="82">
        <v>7</v>
      </c>
      <c r="I14" s="82">
        <v>8</v>
      </c>
      <c r="J14" s="82">
        <v>9</v>
      </c>
      <c r="K14" s="82">
        <v>10</v>
      </c>
      <c r="L14" s="82">
        <v>11</v>
      </c>
      <c r="M14" s="82">
        <v>12</v>
      </c>
      <c r="N14" s="82">
        <v>13</v>
      </c>
      <c r="O14" s="82">
        <v>14</v>
      </c>
      <c r="P14" s="82">
        <v>15</v>
      </c>
      <c r="Q14" s="82">
        <v>16</v>
      </c>
      <c r="R14" s="82">
        <v>17</v>
      </c>
      <c r="S14" s="21">
        <v>18</v>
      </c>
      <c r="T14" s="21">
        <v>19</v>
      </c>
      <c r="U14" s="27"/>
    </row>
    <row r="15" spans="1:22" ht="15" customHeight="1" x14ac:dyDescent="0.25">
      <c r="A15" s="89" t="s">
        <v>31</v>
      </c>
      <c r="B15" s="69" t="s">
        <v>32</v>
      </c>
      <c r="C15" s="7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51"/>
      <c r="V15" s="46"/>
    </row>
    <row r="16" spans="1:22" ht="35.25" customHeight="1" x14ac:dyDescent="0.25">
      <c r="A16" s="90"/>
      <c r="B16" s="726" t="s">
        <v>73</v>
      </c>
      <c r="C16" s="727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>
        <v>427.6</v>
      </c>
      <c r="Q16" s="92">
        <v>427.6</v>
      </c>
      <c r="R16" s="91">
        <f>P16-Q16</f>
        <v>0</v>
      </c>
      <c r="S16" s="91">
        <f>F16+I16+L16+O16+R16</f>
        <v>0</v>
      </c>
      <c r="T16" s="91"/>
      <c r="U16" s="51"/>
      <c r="V16" s="46"/>
    </row>
    <row r="17" spans="1:24" ht="36" customHeight="1" thickBot="1" x14ac:dyDescent="0.3">
      <c r="A17" s="53"/>
      <c r="B17" s="730" t="s">
        <v>74</v>
      </c>
      <c r="C17" s="731"/>
      <c r="D17" s="75">
        <v>15996.9</v>
      </c>
      <c r="E17" s="75">
        <v>15971.7</v>
      </c>
      <c r="F17" s="75">
        <f>D17-E17</f>
        <v>25.199999999998909</v>
      </c>
      <c r="G17" s="75">
        <v>220.9</v>
      </c>
      <c r="H17" s="75">
        <v>216.1</v>
      </c>
      <c r="I17" s="75">
        <f>G17-H17</f>
        <v>4.8000000000000114</v>
      </c>
      <c r="J17" s="75"/>
      <c r="K17" s="75"/>
      <c r="L17" s="75"/>
      <c r="M17" s="75"/>
      <c r="N17" s="75"/>
      <c r="O17" s="75"/>
      <c r="P17" s="75"/>
      <c r="Q17" s="75"/>
      <c r="R17" s="75">
        <f t="shared" ref="R17:R70" si="0">P17-Q17</f>
        <v>0</v>
      </c>
      <c r="S17" s="75">
        <f t="shared" ref="S17:S41" si="1">F17+I17+L17+O17+R17</f>
        <v>29.99999999999892</v>
      </c>
      <c r="T17" s="75"/>
      <c r="U17" s="30"/>
      <c r="V17" s="46"/>
    </row>
    <row r="18" spans="1:24" ht="15" customHeight="1" thickBot="1" x14ac:dyDescent="0.3">
      <c r="A18" s="93"/>
      <c r="B18" s="94" t="s">
        <v>23</v>
      </c>
      <c r="C18" s="61"/>
      <c r="D18" s="71">
        <f>D17+D15</f>
        <v>15996.9</v>
      </c>
      <c r="E18" s="73">
        <f t="shared" ref="E18:R18" si="2">E17+E15</f>
        <v>15971.7</v>
      </c>
      <c r="F18" s="72">
        <f t="shared" si="2"/>
        <v>25.199999999998909</v>
      </c>
      <c r="G18" s="73">
        <f t="shared" si="2"/>
        <v>220.9</v>
      </c>
      <c r="H18" s="73">
        <f t="shared" si="2"/>
        <v>216.1</v>
      </c>
      <c r="I18" s="72">
        <f t="shared" si="2"/>
        <v>4.8000000000000114</v>
      </c>
      <c r="J18" s="73">
        <f t="shared" si="2"/>
        <v>0</v>
      </c>
      <c r="K18" s="73">
        <f t="shared" si="2"/>
        <v>0</v>
      </c>
      <c r="L18" s="72">
        <f t="shared" si="2"/>
        <v>0</v>
      </c>
      <c r="M18" s="73">
        <f t="shared" si="2"/>
        <v>0</v>
      </c>
      <c r="N18" s="73">
        <f t="shared" si="2"/>
        <v>0</v>
      </c>
      <c r="O18" s="72">
        <f t="shared" si="2"/>
        <v>0</v>
      </c>
      <c r="P18" s="73">
        <f>P16</f>
        <v>427.6</v>
      </c>
      <c r="Q18" s="73">
        <f>Q16</f>
        <v>427.6</v>
      </c>
      <c r="R18" s="72">
        <f t="shared" si="2"/>
        <v>0</v>
      </c>
      <c r="S18" s="72">
        <f>S17+S15</f>
        <v>29.99999999999892</v>
      </c>
      <c r="T18" s="56">
        <v>2E-3</v>
      </c>
      <c r="U18" s="30"/>
      <c r="V18" s="46">
        <f>S18/(D18+G18+J18+P18+M18)</f>
        <v>1.8022997344611079E-3</v>
      </c>
      <c r="W18" s="46"/>
      <c r="X18" s="46">
        <f>S18/(D18+G18+J18+M18)</f>
        <v>1.8498193343116157E-3</v>
      </c>
    </row>
    <row r="19" spans="1:24" x14ac:dyDescent="0.25">
      <c r="A19" s="33" t="s">
        <v>33</v>
      </c>
      <c r="B19" s="86" t="s">
        <v>34</v>
      </c>
      <c r="C19" s="87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30"/>
      <c r="V19" s="46"/>
      <c r="W19" s="46"/>
      <c r="X19" s="46"/>
    </row>
    <row r="20" spans="1:24" ht="36.75" customHeight="1" x14ac:dyDescent="0.25">
      <c r="A20" s="33"/>
      <c r="B20" s="726" t="s">
        <v>73</v>
      </c>
      <c r="C20" s="727"/>
      <c r="D20" s="92">
        <v>77006.5</v>
      </c>
      <c r="E20" s="92">
        <v>64840</v>
      </c>
      <c r="F20" s="92">
        <f t="shared" ref="F20" si="3">D20-E20</f>
        <v>12166.5</v>
      </c>
      <c r="G20" s="92">
        <v>150</v>
      </c>
      <c r="H20" s="92">
        <v>147.9</v>
      </c>
      <c r="I20" s="92">
        <f t="shared" ref="I20" si="4">G20-H20</f>
        <v>2.0999999999999943</v>
      </c>
      <c r="J20" s="92"/>
      <c r="K20" s="92"/>
      <c r="L20" s="92"/>
      <c r="M20" s="92"/>
      <c r="N20" s="92"/>
      <c r="O20" s="92"/>
      <c r="P20" s="92">
        <v>2449.8000000000002</v>
      </c>
      <c r="Q20" s="92">
        <v>2449.8000000000002</v>
      </c>
      <c r="R20" s="92">
        <f t="shared" ref="R20" si="5">P20-Q20</f>
        <v>0</v>
      </c>
      <c r="S20" s="92">
        <f t="shared" ref="S20" si="6">F20+I20+L20+O20+R20</f>
        <v>12168.6</v>
      </c>
      <c r="T20" s="92"/>
      <c r="U20" s="30"/>
      <c r="V20" s="46"/>
      <c r="W20" s="46"/>
      <c r="X20" s="46"/>
    </row>
    <row r="21" spans="1:24" ht="36" customHeight="1" thickBot="1" x14ac:dyDescent="0.3">
      <c r="A21" s="33"/>
      <c r="B21" s="730" t="s">
        <v>74</v>
      </c>
      <c r="C21" s="731"/>
      <c r="D21" s="75">
        <v>4174.1000000000004</v>
      </c>
      <c r="E21" s="75">
        <v>4162.6000000000004</v>
      </c>
      <c r="F21" s="75">
        <f t="shared" ref="F21:F41" si="7">D21-E21</f>
        <v>11.5</v>
      </c>
      <c r="G21" s="75">
        <v>1223.5</v>
      </c>
      <c r="H21" s="75">
        <v>1223.5</v>
      </c>
      <c r="I21" s="75">
        <f t="shared" ref="I21:I70" si="8">G21-H21</f>
        <v>0</v>
      </c>
      <c r="J21" s="75"/>
      <c r="K21" s="75"/>
      <c r="L21" s="75"/>
      <c r="M21" s="75"/>
      <c r="N21" s="75"/>
      <c r="O21" s="75"/>
      <c r="P21" s="75"/>
      <c r="Q21" s="75"/>
      <c r="R21" s="75">
        <f t="shared" si="0"/>
        <v>0</v>
      </c>
      <c r="S21" s="75">
        <f t="shared" si="1"/>
        <v>11.5</v>
      </c>
      <c r="T21" s="75"/>
      <c r="U21" s="30"/>
      <c r="V21" s="46"/>
      <c r="W21" s="46"/>
      <c r="X21" s="46"/>
    </row>
    <row r="22" spans="1:24" ht="15.75" customHeight="1" thickBot="1" x14ac:dyDescent="0.3">
      <c r="A22" s="66"/>
      <c r="B22" s="94" t="s">
        <v>23</v>
      </c>
      <c r="C22" s="61"/>
      <c r="D22" s="88">
        <f>D20+D21</f>
        <v>81180.600000000006</v>
      </c>
      <c r="E22" s="76">
        <f>E20+E21</f>
        <v>69002.600000000006</v>
      </c>
      <c r="F22" s="77">
        <f>F20+F21</f>
        <v>12178</v>
      </c>
      <c r="G22" s="76">
        <f>G20+G21</f>
        <v>1373.5</v>
      </c>
      <c r="H22" s="76">
        <f>H20+H21</f>
        <v>1371.4</v>
      </c>
      <c r="I22" s="77">
        <f>I20</f>
        <v>2.0999999999999943</v>
      </c>
      <c r="J22" s="76">
        <f t="shared" ref="J22:R22" si="9">J19+J21</f>
        <v>0</v>
      </c>
      <c r="K22" s="76">
        <f t="shared" si="9"/>
        <v>0</v>
      </c>
      <c r="L22" s="77">
        <f t="shared" si="9"/>
        <v>0</v>
      </c>
      <c r="M22" s="76">
        <f t="shared" si="9"/>
        <v>0</v>
      </c>
      <c r="N22" s="76">
        <f t="shared" si="9"/>
        <v>0</v>
      </c>
      <c r="O22" s="77">
        <f t="shared" si="9"/>
        <v>0</v>
      </c>
      <c r="P22" s="76">
        <f>P20</f>
        <v>2449.8000000000002</v>
      </c>
      <c r="Q22" s="76">
        <f>Q20</f>
        <v>2449.8000000000002</v>
      </c>
      <c r="R22" s="77">
        <f t="shared" si="9"/>
        <v>0</v>
      </c>
      <c r="S22" s="77">
        <f>S20+S21</f>
        <v>12180.1</v>
      </c>
      <c r="T22" s="60">
        <v>0.14799999999999999</v>
      </c>
      <c r="U22" s="30"/>
      <c r="V22" s="46">
        <f>S22/(D22+G22+J22+M22+P22)</f>
        <v>0.14328871969403756</v>
      </c>
      <c r="W22" s="46"/>
      <c r="X22" s="46">
        <f t="shared" ref="X22:X66" si="10">S22/(D22+G22+J22+M22)</f>
        <v>0.14754082474401634</v>
      </c>
    </row>
    <row r="23" spans="1:24" ht="16.5" customHeight="1" x14ac:dyDescent="0.25">
      <c r="A23" s="33" t="s">
        <v>36</v>
      </c>
      <c r="B23" s="728" t="s">
        <v>35</v>
      </c>
      <c r="C23" s="729"/>
      <c r="D23" s="74"/>
      <c r="E23" s="74"/>
      <c r="F23" s="74"/>
      <c r="G23" s="74"/>
      <c r="H23" s="74"/>
      <c r="I23" s="74">
        <f t="shared" si="8"/>
        <v>0</v>
      </c>
      <c r="J23" s="74"/>
      <c r="K23" s="74"/>
      <c r="L23" s="74"/>
      <c r="M23" s="74"/>
      <c r="N23" s="74"/>
      <c r="O23" s="74"/>
      <c r="P23" s="74"/>
      <c r="Q23" s="74"/>
      <c r="R23" s="74">
        <f t="shared" si="0"/>
        <v>0</v>
      </c>
      <c r="S23" s="74">
        <f t="shared" si="1"/>
        <v>0</v>
      </c>
      <c r="T23" s="74"/>
      <c r="U23" s="30"/>
      <c r="V23" s="46"/>
      <c r="W23" s="46"/>
      <c r="X23" s="46"/>
    </row>
    <row r="24" spans="1:24" ht="35.25" customHeight="1" x14ac:dyDescent="0.25">
      <c r="A24" s="33"/>
      <c r="B24" s="726" t="s">
        <v>73</v>
      </c>
      <c r="C24" s="72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>
        <v>800</v>
      </c>
      <c r="Q24" s="92">
        <v>800</v>
      </c>
      <c r="R24" s="92">
        <f>P24-Q24</f>
        <v>0</v>
      </c>
      <c r="S24" s="92"/>
      <c r="T24" s="92"/>
      <c r="U24" s="30"/>
      <c r="V24" s="46"/>
      <c r="W24" s="46"/>
      <c r="X24" s="46"/>
    </row>
    <row r="25" spans="1:24" ht="34.5" customHeight="1" thickBot="1" x14ac:dyDescent="0.3">
      <c r="A25" s="33"/>
      <c r="B25" s="730" t="s">
        <v>74</v>
      </c>
      <c r="C25" s="731"/>
      <c r="D25" s="75">
        <v>1393</v>
      </c>
      <c r="E25" s="75">
        <v>1393</v>
      </c>
      <c r="F25" s="75">
        <f t="shared" si="7"/>
        <v>0</v>
      </c>
      <c r="G25" s="75">
        <v>652.70000000000005</v>
      </c>
      <c r="H25" s="75">
        <v>652.70000000000005</v>
      </c>
      <c r="I25" s="75">
        <f t="shared" si="8"/>
        <v>0</v>
      </c>
      <c r="J25" s="75"/>
      <c r="K25" s="75"/>
      <c r="L25" s="75"/>
      <c r="M25" s="75"/>
      <c r="N25" s="75"/>
      <c r="O25" s="75"/>
      <c r="P25" s="75"/>
      <c r="Q25" s="75"/>
      <c r="R25" s="75">
        <f t="shared" si="0"/>
        <v>0</v>
      </c>
      <c r="S25" s="75">
        <f t="shared" si="1"/>
        <v>0</v>
      </c>
      <c r="T25" s="75"/>
      <c r="U25" s="30"/>
      <c r="V25" s="46"/>
      <c r="W25" s="46"/>
      <c r="X25" s="46"/>
    </row>
    <row r="26" spans="1:24" ht="15.75" thickBot="1" x14ac:dyDescent="0.3">
      <c r="A26" s="66"/>
      <c r="B26" s="64" t="s">
        <v>23</v>
      </c>
      <c r="C26" s="59"/>
      <c r="D26" s="76">
        <f>D23+D25</f>
        <v>1393</v>
      </c>
      <c r="E26" s="76">
        <f t="shared" ref="E26:S26" si="11">E23+E25</f>
        <v>1393</v>
      </c>
      <c r="F26" s="77">
        <f t="shared" si="11"/>
        <v>0</v>
      </c>
      <c r="G26" s="76">
        <f t="shared" si="11"/>
        <v>652.70000000000005</v>
      </c>
      <c r="H26" s="76">
        <f t="shared" si="11"/>
        <v>652.70000000000005</v>
      </c>
      <c r="I26" s="77">
        <f t="shared" si="11"/>
        <v>0</v>
      </c>
      <c r="J26" s="76">
        <f t="shared" si="11"/>
        <v>0</v>
      </c>
      <c r="K26" s="76">
        <f t="shared" si="11"/>
        <v>0</v>
      </c>
      <c r="L26" s="77">
        <f t="shared" si="11"/>
        <v>0</v>
      </c>
      <c r="M26" s="76">
        <f t="shared" si="11"/>
        <v>0</v>
      </c>
      <c r="N26" s="76">
        <f t="shared" si="11"/>
        <v>0</v>
      </c>
      <c r="O26" s="77">
        <f t="shared" si="11"/>
        <v>0</v>
      </c>
      <c r="P26" s="76">
        <f>P24</f>
        <v>800</v>
      </c>
      <c r="Q26" s="76">
        <f>Q24</f>
        <v>800</v>
      </c>
      <c r="R26" s="77">
        <f>R24</f>
        <v>0</v>
      </c>
      <c r="S26" s="77">
        <f t="shared" si="11"/>
        <v>0</v>
      </c>
      <c r="T26" s="60">
        <v>0</v>
      </c>
      <c r="U26" s="30"/>
      <c r="V26" s="46">
        <f t="shared" ref="V26:V38" si="12">S26/(D26+G26+J26+M26+P26)</f>
        <v>0</v>
      </c>
      <c r="W26" s="46"/>
      <c r="X26" s="46">
        <f t="shared" si="10"/>
        <v>0</v>
      </c>
    </row>
    <row r="27" spans="1:24" x14ac:dyDescent="0.25">
      <c r="A27" s="33" t="s">
        <v>42</v>
      </c>
      <c r="B27" s="728" t="s">
        <v>41</v>
      </c>
      <c r="C27" s="729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30"/>
      <c r="V27" s="46"/>
      <c r="W27" s="46"/>
      <c r="X27" s="46"/>
    </row>
    <row r="28" spans="1:24" ht="34.5" customHeight="1" x14ac:dyDescent="0.25">
      <c r="A28" s="33"/>
      <c r="B28" s="726" t="s">
        <v>73</v>
      </c>
      <c r="C28" s="727"/>
      <c r="D28" s="92">
        <v>5120.3</v>
      </c>
      <c r="E28" s="92">
        <v>5069.1000000000004</v>
      </c>
      <c r="F28" s="92">
        <f t="shared" si="7"/>
        <v>51.199999999999818</v>
      </c>
      <c r="G28" s="92">
        <v>288.7</v>
      </c>
      <c r="H28" s="92">
        <v>160</v>
      </c>
      <c r="I28" s="92">
        <f t="shared" si="8"/>
        <v>128.69999999999999</v>
      </c>
      <c r="J28" s="92"/>
      <c r="K28" s="92"/>
      <c r="L28" s="92"/>
      <c r="M28" s="92"/>
      <c r="N28" s="92"/>
      <c r="O28" s="92"/>
      <c r="P28" s="92">
        <v>1000</v>
      </c>
      <c r="Q28" s="92">
        <v>1000</v>
      </c>
      <c r="R28" s="92">
        <f t="shared" si="0"/>
        <v>0</v>
      </c>
      <c r="S28" s="92">
        <f t="shared" si="1"/>
        <v>179.89999999999981</v>
      </c>
      <c r="T28" s="92"/>
      <c r="U28" s="30"/>
      <c r="V28" s="46"/>
      <c r="W28" s="46"/>
      <c r="X28" s="46"/>
    </row>
    <row r="29" spans="1:24" ht="33.75" customHeight="1" thickBot="1" x14ac:dyDescent="0.3">
      <c r="A29" s="33"/>
      <c r="B29" s="730" t="s">
        <v>74</v>
      </c>
      <c r="C29" s="731"/>
      <c r="D29" s="75"/>
      <c r="E29" s="75"/>
      <c r="F29" s="75"/>
      <c r="G29" s="75"/>
      <c r="H29" s="75"/>
      <c r="I29" s="75">
        <f t="shared" si="8"/>
        <v>0</v>
      </c>
      <c r="J29" s="75"/>
      <c r="K29" s="75"/>
      <c r="L29" s="75"/>
      <c r="M29" s="75"/>
      <c r="N29" s="75"/>
      <c r="O29" s="75"/>
      <c r="P29" s="75"/>
      <c r="Q29" s="75"/>
      <c r="R29" s="75">
        <f t="shared" si="0"/>
        <v>0</v>
      </c>
      <c r="S29" s="75">
        <f t="shared" si="1"/>
        <v>0</v>
      </c>
      <c r="T29" s="75"/>
      <c r="U29" s="30"/>
      <c r="V29" s="46"/>
      <c r="W29" s="46"/>
      <c r="X29" s="46"/>
    </row>
    <row r="30" spans="1:24" ht="15.75" thickBot="1" x14ac:dyDescent="0.3">
      <c r="A30" s="66"/>
      <c r="B30" s="95" t="s">
        <v>23</v>
      </c>
      <c r="C30" s="59"/>
      <c r="D30" s="76">
        <f>SUM(D27:D29)</f>
        <v>5120.3</v>
      </c>
      <c r="E30" s="76">
        <f t="shared" ref="E30:S30" si="13">SUM(E27:E29)</f>
        <v>5069.1000000000004</v>
      </c>
      <c r="F30" s="77">
        <f t="shared" si="13"/>
        <v>51.199999999999818</v>
      </c>
      <c r="G30" s="76">
        <f t="shared" si="13"/>
        <v>288.7</v>
      </c>
      <c r="H30" s="76">
        <f t="shared" si="13"/>
        <v>160</v>
      </c>
      <c r="I30" s="77">
        <f t="shared" si="13"/>
        <v>128.69999999999999</v>
      </c>
      <c r="J30" s="76">
        <f t="shared" si="13"/>
        <v>0</v>
      </c>
      <c r="K30" s="76">
        <f t="shared" si="13"/>
        <v>0</v>
      </c>
      <c r="L30" s="77">
        <f t="shared" si="13"/>
        <v>0</v>
      </c>
      <c r="M30" s="76">
        <f t="shared" si="13"/>
        <v>0</v>
      </c>
      <c r="N30" s="76">
        <f t="shared" si="13"/>
        <v>0</v>
      </c>
      <c r="O30" s="77">
        <f t="shared" si="13"/>
        <v>0</v>
      </c>
      <c r="P30" s="76">
        <f t="shared" si="13"/>
        <v>1000</v>
      </c>
      <c r="Q30" s="76">
        <f t="shared" si="13"/>
        <v>1000</v>
      </c>
      <c r="R30" s="111">
        <f t="shared" si="13"/>
        <v>0</v>
      </c>
      <c r="S30" s="77">
        <f t="shared" si="13"/>
        <v>179.89999999999981</v>
      </c>
      <c r="T30" s="96">
        <v>3.3000000000000002E-2</v>
      </c>
      <c r="U30" s="30"/>
      <c r="V30" s="46">
        <f>S30/(D30+G30+J30+M30+P30)</f>
        <v>2.8069901700733313E-2</v>
      </c>
      <c r="W30" s="46"/>
      <c r="X30" s="46">
        <f t="shared" si="10"/>
        <v>3.3259382510630396E-2</v>
      </c>
    </row>
    <row r="31" spans="1:24" x14ac:dyDescent="0.25">
      <c r="A31" s="33" t="s">
        <v>45</v>
      </c>
      <c r="B31" s="728" t="s">
        <v>43</v>
      </c>
      <c r="C31" s="729"/>
      <c r="D31" s="74">
        <v>6907.6</v>
      </c>
      <c r="E31" s="74">
        <v>5975.1</v>
      </c>
      <c r="F31" s="74">
        <f>D31-E31</f>
        <v>932.5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109"/>
      <c r="S31" s="78">
        <f t="shared" ref="S31:S32" si="14">F31+I31+L31+O31+R31</f>
        <v>932.5</v>
      </c>
      <c r="T31" s="110"/>
      <c r="U31" s="30"/>
      <c r="V31" s="46"/>
      <c r="W31" s="46"/>
      <c r="X31" s="46"/>
    </row>
    <row r="32" spans="1:24" ht="33" customHeight="1" x14ac:dyDescent="0.25">
      <c r="A32" s="33"/>
      <c r="B32" s="726" t="s">
        <v>73</v>
      </c>
      <c r="C32" s="727"/>
      <c r="D32" s="92">
        <v>400</v>
      </c>
      <c r="E32" s="92">
        <v>280</v>
      </c>
      <c r="F32" s="92">
        <f t="shared" ref="F32" si="15">D32-E32</f>
        <v>120</v>
      </c>
      <c r="G32" s="92"/>
      <c r="H32" s="92"/>
      <c r="I32" s="92"/>
      <c r="J32" s="92"/>
      <c r="K32" s="92"/>
      <c r="L32" s="92"/>
      <c r="M32" s="92"/>
      <c r="N32" s="92"/>
      <c r="O32" s="92"/>
      <c r="P32" s="92">
        <v>800.5</v>
      </c>
      <c r="Q32" s="92">
        <v>800.5</v>
      </c>
      <c r="R32" s="112">
        <f t="shared" ref="R32" si="16">P32-Q32</f>
        <v>0</v>
      </c>
      <c r="S32" s="92">
        <f t="shared" si="14"/>
        <v>120</v>
      </c>
      <c r="T32" s="114"/>
      <c r="U32" s="30"/>
      <c r="V32" s="46"/>
      <c r="W32" s="46"/>
      <c r="X32" s="46"/>
    </row>
    <row r="33" spans="1:24" ht="39" customHeight="1" thickBot="1" x14ac:dyDescent="0.3">
      <c r="A33" s="33"/>
      <c r="B33" s="730" t="s">
        <v>74</v>
      </c>
      <c r="C33" s="731"/>
      <c r="D33" s="75">
        <v>2998.4</v>
      </c>
      <c r="E33" s="75">
        <v>2998.4</v>
      </c>
      <c r="F33" s="75">
        <f t="shared" si="7"/>
        <v>0</v>
      </c>
      <c r="G33" s="75">
        <v>1075</v>
      </c>
      <c r="H33" s="75">
        <v>942</v>
      </c>
      <c r="I33" s="75">
        <f t="shared" si="8"/>
        <v>133</v>
      </c>
      <c r="J33" s="75"/>
      <c r="K33" s="75"/>
      <c r="L33" s="75"/>
      <c r="M33" s="75"/>
      <c r="N33" s="75"/>
      <c r="O33" s="75"/>
      <c r="P33" s="75"/>
      <c r="Q33" s="75"/>
      <c r="R33" s="113">
        <f t="shared" si="0"/>
        <v>0</v>
      </c>
      <c r="S33" s="75">
        <f t="shared" si="1"/>
        <v>133</v>
      </c>
      <c r="T33" s="115"/>
      <c r="U33" s="30"/>
      <c r="V33" s="46"/>
      <c r="W33" s="46"/>
      <c r="X33" s="46"/>
    </row>
    <row r="34" spans="1:24" ht="15.75" thickBot="1" x14ac:dyDescent="0.3">
      <c r="A34" s="93"/>
      <c r="B34" s="94" t="s">
        <v>23</v>
      </c>
      <c r="C34" s="61"/>
      <c r="D34" s="88">
        <f>SUM(D31:D33)</f>
        <v>10306</v>
      </c>
      <c r="E34" s="88">
        <f t="shared" ref="E34:F34" si="17">SUM(E31:E33)</f>
        <v>9253.5</v>
      </c>
      <c r="F34" s="77">
        <f t="shared" si="17"/>
        <v>1052.5</v>
      </c>
      <c r="G34" s="76">
        <f t="shared" ref="G34:R34" si="18">G32+G33</f>
        <v>1075</v>
      </c>
      <c r="H34" s="76">
        <f t="shared" si="18"/>
        <v>942</v>
      </c>
      <c r="I34" s="77">
        <f t="shared" si="18"/>
        <v>133</v>
      </c>
      <c r="J34" s="76">
        <f t="shared" si="18"/>
        <v>0</v>
      </c>
      <c r="K34" s="76">
        <f t="shared" si="18"/>
        <v>0</v>
      </c>
      <c r="L34" s="77">
        <f t="shared" si="18"/>
        <v>0</v>
      </c>
      <c r="M34" s="76">
        <f t="shared" si="18"/>
        <v>0</v>
      </c>
      <c r="N34" s="76">
        <f t="shared" si="18"/>
        <v>0</v>
      </c>
      <c r="O34" s="77">
        <f t="shared" si="18"/>
        <v>0</v>
      </c>
      <c r="P34" s="76">
        <f t="shared" si="18"/>
        <v>800.5</v>
      </c>
      <c r="Q34" s="76">
        <f t="shared" si="18"/>
        <v>800.5</v>
      </c>
      <c r="R34" s="76">
        <f t="shared" si="18"/>
        <v>0</v>
      </c>
      <c r="S34" s="77">
        <f>SUM(S31:S33)</f>
        <v>1185.5</v>
      </c>
      <c r="T34" s="60">
        <v>0.104</v>
      </c>
      <c r="U34" s="30"/>
      <c r="V34" s="46">
        <f>S34/(D34+G34+J34+M34+P34)</f>
        <v>9.73197061117268E-2</v>
      </c>
      <c r="W34" s="46"/>
      <c r="X34" s="46">
        <f>S34/(D34+G34+J34+M34)</f>
        <v>0.10416483613039276</v>
      </c>
    </row>
    <row r="35" spans="1:24" x14ac:dyDescent="0.25">
      <c r="A35" s="33" t="s">
        <v>46</v>
      </c>
      <c r="B35" s="728" t="s">
        <v>44</v>
      </c>
      <c r="C35" s="729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30"/>
      <c r="V35" s="46"/>
      <c r="W35" s="46"/>
      <c r="X35" s="46"/>
    </row>
    <row r="36" spans="1:24" ht="33.75" customHeight="1" x14ac:dyDescent="0.25">
      <c r="A36" s="33"/>
      <c r="B36" s="726" t="s">
        <v>73</v>
      </c>
      <c r="C36" s="727"/>
      <c r="D36" s="92">
        <v>1485.1</v>
      </c>
      <c r="E36" s="92">
        <v>1477.7</v>
      </c>
      <c r="F36" s="92">
        <f t="shared" ref="F36" si="19">D36-E36</f>
        <v>7.3999999999998636</v>
      </c>
      <c r="G36" s="92">
        <v>250</v>
      </c>
      <c r="H36" s="92">
        <v>247.5</v>
      </c>
      <c r="I36" s="92">
        <f t="shared" ref="I36" si="20">G36-H36</f>
        <v>2.5</v>
      </c>
      <c r="J36" s="92"/>
      <c r="K36" s="92"/>
      <c r="L36" s="92"/>
      <c r="M36" s="92"/>
      <c r="N36" s="92"/>
      <c r="O36" s="92"/>
      <c r="P36" s="92">
        <v>800</v>
      </c>
      <c r="Q36" s="92">
        <v>800</v>
      </c>
      <c r="R36" s="92">
        <f t="shared" ref="R36" si="21">P36-Q36</f>
        <v>0</v>
      </c>
      <c r="S36" s="92">
        <f t="shared" ref="S36" si="22">F36+I36+L36+O36+R36</f>
        <v>9.8999999999998636</v>
      </c>
      <c r="T36" s="92"/>
      <c r="U36" s="30"/>
      <c r="V36" s="46"/>
      <c r="W36" s="46"/>
      <c r="X36" s="46"/>
    </row>
    <row r="37" spans="1:24" ht="36.75" customHeight="1" thickBot="1" x14ac:dyDescent="0.3">
      <c r="A37" s="33"/>
      <c r="B37" s="724" t="s">
        <v>74</v>
      </c>
      <c r="C37" s="725"/>
      <c r="D37" s="75">
        <v>12640.5</v>
      </c>
      <c r="E37" s="75">
        <v>12640.5</v>
      </c>
      <c r="F37" s="75">
        <f t="shared" si="7"/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>
        <f t="shared" si="0"/>
        <v>0</v>
      </c>
      <c r="S37" s="75">
        <f t="shared" si="1"/>
        <v>0</v>
      </c>
      <c r="T37" s="75"/>
      <c r="U37" s="30"/>
      <c r="V37" s="46"/>
      <c r="W37" s="46"/>
      <c r="X37" s="46"/>
    </row>
    <row r="38" spans="1:24" ht="13.5" customHeight="1" thickBot="1" x14ac:dyDescent="0.3">
      <c r="A38" s="66"/>
      <c r="B38" s="64" t="s">
        <v>23</v>
      </c>
      <c r="C38" s="94"/>
      <c r="D38" s="76">
        <f>SUM(D35:D37)</f>
        <v>14125.6</v>
      </c>
      <c r="E38" s="76">
        <f t="shared" ref="E38:S38" si="23">SUM(E35:E37)</f>
        <v>14118.2</v>
      </c>
      <c r="F38" s="77">
        <f t="shared" si="23"/>
        <v>7.3999999999998636</v>
      </c>
      <c r="G38" s="76">
        <f t="shared" si="23"/>
        <v>250</v>
      </c>
      <c r="H38" s="76">
        <f t="shared" si="23"/>
        <v>247.5</v>
      </c>
      <c r="I38" s="77">
        <f t="shared" si="23"/>
        <v>2.5</v>
      </c>
      <c r="J38" s="76">
        <f t="shared" si="23"/>
        <v>0</v>
      </c>
      <c r="K38" s="76">
        <f t="shared" si="23"/>
        <v>0</v>
      </c>
      <c r="L38" s="77">
        <f t="shared" si="23"/>
        <v>0</v>
      </c>
      <c r="M38" s="76">
        <f t="shared" si="23"/>
        <v>0</v>
      </c>
      <c r="N38" s="76">
        <f t="shared" si="23"/>
        <v>0</v>
      </c>
      <c r="O38" s="77">
        <f t="shared" si="23"/>
        <v>0</v>
      </c>
      <c r="P38" s="76">
        <f t="shared" si="23"/>
        <v>800</v>
      </c>
      <c r="Q38" s="76">
        <f t="shared" si="23"/>
        <v>800</v>
      </c>
      <c r="R38" s="77">
        <f t="shared" si="23"/>
        <v>0</v>
      </c>
      <c r="S38" s="77">
        <f t="shared" si="23"/>
        <v>9.8999999999998636</v>
      </c>
      <c r="T38" s="60">
        <v>1E-3</v>
      </c>
      <c r="U38" s="30"/>
      <c r="V38" s="46">
        <f t="shared" si="12"/>
        <v>6.5236300376919946E-4</v>
      </c>
      <c r="W38" s="46"/>
      <c r="X38" s="46">
        <f t="shared" si="10"/>
        <v>6.8866690781601214E-4</v>
      </c>
    </row>
    <row r="39" spans="1:24" x14ac:dyDescent="0.25">
      <c r="A39" s="33" t="s">
        <v>49</v>
      </c>
      <c r="B39" s="728" t="s">
        <v>47</v>
      </c>
      <c r="C39" s="729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30"/>
      <c r="V39" s="46"/>
      <c r="W39" s="46"/>
      <c r="X39" s="46"/>
    </row>
    <row r="40" spans="1:24" ht="33.75" customHeight="1" x14ac:dyDescent="0.25">
      <c r="A40" s="33"/>
      <c r="B40" s="726" t="s">
        <v>73</v>
      </c>
      <c r="C40" s="727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>
        <v>1100</v>
      </c>
      <c r="Q40" s="91">
        <v>1100</v>
      </c>
      <c r="R40" s="91">
        <f t="shared" ref="R40" si="24">P40-Q40</f>
        <v>0</v>
      </c>
      <c r="S40" s="91">
        <f t="shared" ref="S40" si="25">F40+I40+L40+O40+R40</f>
        <v>0</v>
      </c>
      <c r="T40" s="91"/>
      <c r="U40" s="30"/>
      <c r="V40" s="46"/>
      <c r="W40" s="46"/>
      <c r="X40" s="46"/>
    </row>
    <row r="41" spans="1:24" ht="34.5" customHeight="1" thickBot="1" x14ac:dyDescent="0.3">
      <c r="A41" s="33"/>
      <c r="B41" s="724" t="s">
        <v>74</v>
      </c>
      <c r="C41" s="725"/>
      <c r="D41" s="75">
        <v>9116.2000000000007</v>
      </c>
      <c r="E41" s="75">
        <v>9070.7000000000007</v>
      </c>
      <c r="F41" s="75">
        <f t="shared" si="7"/>
        <v>45.5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>
        <f t="shared" si="0"/>
        <v>0</v>
      </c>
      <c r="S41" s="75">
        <f t="shared" si="1"/>
        <v>45.5</v>
      </c>
      <c r="T41" s="75"/>
      <c r="U41" s="30"/>
      <c r="V41" s="46"/>
      <c r="W41" s="46"/>
      <c r="X41" s="46"/>
    </row>
    <row r="42" spans="1:24" ht="15.75" thickBot="1" x14ac:dyDescent="0.3">
      <c r="A42" s="66"/>
      <c r="B42" s="94" t="s">
        <v>23</v>
      </c>
      <c r="C42" s="64"/>
      <c r="D42" s="76">
        <f>SUM(D39:D41)</f>
        <v>9116.2000000000007</v>
      </c>
      <c r="E42" s="76">
        <f t="shared" ref="E42:S42" si="26">SUM(E39:E41)</f>
        <v>9070.7000000000007</v>
      </c>
      <c r="F42" s="77">
        <f t="shared" si="26"/>
        <v>45.5</v>
      </c>
      <c r="G42" s="76">
        <f t="shared" si="26"/>
        <v>0</v>
      </c>
      <c r="H42" s="76">
        <f t="shared" si="26"/>
        <v>0</v>
      </c>
      <c r="I42" s="77">
        <f t="shared" si="26"/>
        <v>0</v>
      </c>
      <c r="J42" s="76">
        <f t="shared" si="26"/>
        <v>0</v>
      </c>
      <c r="K42" s="76">
        <f t="shared" si="26"/>
        <v>0</v>
      </c>
      <c r="L42" s="77">
        <f t="shared" si="26"/>
        <v>0</v>
      </c>
      <c r="M42" s="76">
        <f t="shared" si="26"/>
        <v>0</v>
      </c>
      <c r="N42" s="76">
        <f t="shared" si="26"/>
        <v>0</v>
      </c>
      <c r="O42" s="77">
        <f t="shared" si="26"/>
        <v>0</v>
      </c>
      <c r="P42" s="76">
        <f t="shared" si="26"/>
        <v>1100</v>
      </c>
      <c r="Q42" s="76">
        <f t="shared" si="26"/>
        <v>1100</v>
      </c>
      <c r="R42" s="77">
        <f t="shared" si="26"/>
        <v>0</v>
      </c>
      <c r="S42" s="77">
        <f t="shared" si="26"/>
        <v>45.5</v>
      </c>
      <c r="T42" s="96">
        <v>5.0000000000000001E-3</v>
      </c>
      <c r="U42" s="30"/>
      <c r="V42" s="46">
        <f t="shared" ref="V42:V66" si="27">S42/(D42+G42+J42+M42+P42)</f>
        <v>4.4537107730858831E-3</v>
      </c>
      <c r="W42" s="46"/>
      <c r="X42" s="46">
        <f t="shared" si="10"/>
        <v>4.9911147188521528E-3</v>
      </c>
    </row>
    <row r="43" spans="1:24" ht="15.75" customHeight="1" x14ac:dyDescent="0.25">
      <c r="A43" s="33" t="s">
        <v>50</v>
      </c>
      <c r="B43" s="728" t="s">
        <v>48</v>
      </c>
      <c r="C43" s="729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30"/>
      <c r="V43" s="46"/>
      <c r="W43" s="46"/>
      <c r="X43" s="46"/>
    </row>
    <row r="44" spans="1:24" ht="34.5" customHeight="1" x14ac:dyDescent="0.25">
      <c r="A44" s="33"/>
      <c r="B44" s="726" t="s">
        <v>73</v>
      </c>
      <c r="C44" s="727"/>
      <c r="D44" s="92"/>
      <c r="E44" s="92"/>
      <c r="F44" s="92"/>
      <c r="G44" s="92">
        <v>1328</v>
      </c>
      <c r="H44" s="92">
        <v>796</v>
      </c>
      <c r="I44" s="92">
        <f t="shared" ref="I44" si="28">G44-H44</f>
        <v>532</v>
      </c>
      <c r="J44" s="92"/>
      <c r="K44" s="92"/>
      <c r="L44" s="92"/>
      <c r="M44" s="92"/>
      <c r="N44" s="92"/>
      <c r="O44" s="92"/>
      <c r="P44" s="92">
        <v>2152</v>
      </c>
      <c r="Q44" s="92">
        <v>2152</v>
      </c>
      <c r="R44" s="92">
        <f t="shared" ref="R44" si="29">P44-Q44</f>
        <v>0</v>
      </c>
      <c r="S44" s="92">
        <f t="shared" ref="S44" si="30">F44+I44+L44+O44+R44</f>
        <v>532</v>
      </c>
      <c r="T44" s="92"/>
      <c r="U44" s="30"/>
      <c r="V44" s="46"/>
      <c r="W44" s="46"/>
      <c r="X44" s="46"/>
    </row>
    <row r="45" spans="1:24" ht="33.75" customHeight="1" thickBot="1" x14ac:dyDescent="0.3">
      <c r="A45" s="33"/>
      <c r="B45" s="724" t="s">
        <v>74</v>
      </c>
      <c r="C45" s="725"/>
      <c r="D45" s="75">
        <v>6649.4</v>
      </c>
      <c r="E45" s="75">
        <v>6649.4</v>
      </c>
      <c r="F45" s="75">
        <f t="shared" ref="F45" si="31">D45-E45</f>
        <v>0</v>
      </c>
      <c r="G45" s="75"/>
      <c r="H45" s="75"/>
      <c r="I45" s="75">
        <f t="shared" ref="I45" si="32">G45-H45</f>
        <v>0</v>
      </c>
      <c r="J45" s="75"/>
      <c r="K45" s="75"/>
      <c r="L45" s="75"/>
      <c r="M45" s="75"/>
      <c r="N45" s="75"/>
      <c r="O45" s="75"/>
      <c r="P45" s="75"/>
      <c r="Q45" s="75"/>
      <c r="R45" s="75">
        <f t="shared" ref="R45" si="33">P45-Q45</f>
        <v>0</v>
      </c>
      <c r="S45" s="75">
        <f t="shared" ref="S45" si="34">F45+I45+L45+O45+R45</f>
        <v>0</v>
      </c>
      <c r="T45" s="75"/>
      <c r="U45" s="30"/>
      <c r="V45" s="46"/>
      <c r="W45" s="46"/>
      <c r="X45" s="46"/>
    </row>
    <row r="46" spans="1:24" ht="15.75" thickBot="1" x14ac:dyDescent="0.3">
      <c r="A46" s="66"/>
      <c r="B46" s="94" t="s">
        <v>23</v>
      </c>
      <c r="C46" s="64"/>
      <c r="D46" s="76">
        <f>SUM(D43:D45)</f>
        <v>6649.4</v>
      </c>
      <c r="E46" s="76">
        <f t="shared" ref="E46" si="35">SUM(E43:E45)</f>
        <v>6649.4</v>
      </c>
      <c r="F46" s="77">
        <f t="shared" ref="F46" si="36">SUM(F43:F45)</f>
        <v>0</v>
      </c>
      <c r="G46" s="76">
        <f t="shared" ref="G46" si="37">SUM(G43:G45)</f>
        <v>1328</v>
      </c>
      <c r="H46" s="76">
        <f t="shared" ref="H46" si="38">SUM(H43:H45)</f>
        <v>796</v>
      </c>
      <c r="I46" s="77">
        <f t="shared" ref="I46" si="39">SUM(I43:I45)</f>
        <v>532</v>
      </c>
      <c r="J46" s="76">
        <f t="shared" ref="J46" si="40">SUM(J43:J45)</f>
        <v>0</v>
      </c>
      <c r="K46" s="76">
        <f t="shared" ref="K46" si="41">SUM(K43:K45)</f>
        <v>0</v>
      </c>
      <c r="L46" s="77">
        <f t="shared" ref="L46" si="42">SUM(L43:L45)</f>
        <v>0</v>
      </c>
      <c r="M46" s="76">
        <f t="shared" ref="M46" si="43">SUM(M43:M45)</f>
        <v>0</v>
      </c>
      <c r="N46" s="76">
        <f t="shared" ref="N46" si="44">SUM(N43:N45)</f>
        <v>0</v>
      </c>
      <c r="O46" s="77">
        <f t="shared" ref="O46" si="45">SUM(O43:O45)</f>
        <v>0</v>
      </c>
      <c r="P46" s="76">
        <f t="shared" ref="P46" si="46">SUM(P43:P45)</f>
        <v>2152</v>
      </c>
      <c r="Q46" s="76">
        <f t="shared" ref="Q46" si="47">SUM(Q43:Q45)</f>
        <v>2152</v>
      </c>
      <c r="R46" s="77">
        <f t="shared" ref="R46" si="48">SUM(R43:R45)</f>
        <v>0</v>
      </c>
      <c r="S46" s="77">
        <f t="shared" ref="S46" si="49">SUM(S43:S45)</f>
        <v>532</v>
      </c>
      <c r="T46" s="96">
        <v>6.7000000000000004E-2</v>
      </c>
      <c r="U46" s="30"/>
      <c r="V46" s="46">
        <f t="shared" si="27"/>
        <v>5.2520386202539147E-2</v>
      </c>
      <c r="W46" s="46"/>
      <c r="X46" s="46">
        <f t="shared" si="10"/>
        <v>6.6688394715070071E-2</v>
      </c>
    </row>
    <row r="47" spans="1:24" x14ac:dyDescent="0.25">
      <c r="A47" s="33" t="s">
        <v>51</v>
      </c>
      <c r="B47" s="728" t="s">
        <v>52</v>
      </c>
      <c r="C47" s="72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30"/>
      <c r="V47" s="46"/>
      <c r="W47" s="46"/>
      <c r="X47" s="46"/>
    </row>
    <row r="48" spans="1:24" ht="36.75" customHeight="1" x14ac:dyDescent="0.25">
      <c r="A48" s="33"/>
      <c r="B48" s="726" t="s">
        <v>73</v>
      </c>
      <c r="C48" s="727"/>
      <c r="D48" s="92"/>
      <c r="E48" s="92"/>
      <c r="F48" s="92"/>
      <c r="G48" s="92">
        <v>653.9</v>
      </c>
      <c r="H48" s="92">
        <v>385</v>
      </c>
      <c r="I48" s="92">
        <f t="shared" ref="I48" si="50">G48-H48</f>
        <v>268.89999999999998</v>
      </c>
      <c r="J48" s="92"/>
      <c r="K48" s="92"/>
      <c r="L48" s="92"/>
      <c r="M48" s="92"/>
      <c r="N48" s="92"/>
      <c r="O48" s="92"/>
      <c r="P48" s="92">
        <v>438.6</v>
      </c>
      <c r="Q48" s="92">
        <v>438.6</v>
      </c>
      <c r="R48" s="92">
        <f t="shared" ref="R48" si="51">P48-Q48</f>
        <v>0</v>
      </c>
      <c r="S48" s="92">
        <f t="shared" ref="S48" si="52">F48+I48+L48+O48+R48</f>
        <v>268.89999999999998</v>
      </c>
      <c r="T48" s="92"/>
      <c r="U48" s="30"/>
      <c r="V48" s="46"/>
      <c r="W48" s="46"/>
      <c r="X48" s="46"/>
    </row>
    <row r="49" spans="1:24" ht="35.25" customHeight="1" thickBot="1" x14ac:dyDescent="0.3">
      <c r="A49" s="33"/>
      <c r="B49" s="724" t="s">
        <v>74</v>
      </c>
      <c r="C49" s="725"/>
      <c r="D49" s="75">
        <v>8260.1</v>
      </c>
      <c r="E49" s="75">
        <v>8260.1</v>
      </c>
      <c r="F49" s="75">
        <f t="shared" ref="F49" si="53">D49-E49</f>
        <v>0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>
        <f t="shared" ref="R49" si="54">P49-Q49</f>
        <v>0</v>
      </c>
      <c r="S49" s="75">
        <f t="shared" ref="S49" si="55">F49+I49+L49+O49+R49</f>
        <v>0</v>
      </c>
      <c r="T49" s="75"/>
      <c r="U49" s="30"/>
      <c r="V49" s="46"/>
      <c r="W49" s="46"/>
      <c r="X49" s="46"/>
    </row>
    <row r="50" spans="1:24" ht="15.75" thickBot="1" x14ac:dyDescent="0.3">
      <c r="A50" s="66"/>
      <c r="B50" s="94" t="s">
        <v>23</v>
      </c>
      <c r="C50" s="64"/>
      <c r="D50" s="76">
        <f>SUM(D47:D49)</f>
        <v>8260.1</v>
      </c>
      <c r="E50" s="76">
        <f t="shared" ref="E50" si="56">SUM(E47:E49)</f>
        <v>8260.1</v>
      </c>
      <c r="F50" s="77">
        <f t="shared" ref="F50" si="57">SUM(F47:F49)</f>
        <v>0</v>
      </c>
      <c r="G50" s="76">
        <f t="shared" ref="G50" si="58">SUM(G47:G49)</f>
        <v>653.9</v>
      </c>
      <c r="H50" s="76">
        <f t="shared" ref="H50" si="59">SUM(H47:H49)</f>
        <v>385</v>
      </c>
      <c r="I50" s="77">
        <f t="shared" ref="I50" si="60">SUM(I47:I49)</f>
        <v>268.89999999999998</v>
      </c>
      <c r="J50" s="76">
        <f t="shared" ref="J50" si="61">SUM(J47:J49)</f>
        <v>0</v>
      </c>
      <c r="K50" s="76">
        <f t="shared" ref="K50" si="62">SUM(K47:K49)</f>
        <v>0</v>
      </c>
      <c r="L50" s="77">
        <f t="shared" ref="L50" si="63">SUM(L47:L49)</f>
        <v>0</v>
      </c>
      <c r="M50" s="76">
        <f t="shared" ref="M50" si="64">SUM(M47:M49)</f>
        <v>0</v>
      </c>
      <c r="N50" s="76">
        <f t="shared" ref="N50" si="65">SUM(N47:N49)</f>
        <v>0</v>
      </c>
      <c r="O50" s="77">
        <f t="shared" ref="O50" si="66">SUM(O47:O49)</f>
        <v>0</v>
      </c>
      <c r="P50" s="76">
        <f t="shared" ref="P50" si="67">SUM(P47:P49)</f>
        <v>438.6</v>
      </c>
      <c r="Q50" s="76">
        <f t="shared" ref="Q50" si="68">SUM(Q47:Q49)</f>
        <v>438.6</v>
      </c>
      <c r="R50" s="77">
        <f t="shared" ref="R50" si="69">SUM(R47:R49)</f>
        <v>0</v>
      </c>
      <c r="S50" s="77">
        <f t="shared" ref="S50" si="70">SUM(S47:S49)</f>
        <v>268.89999999999998</v>
      </c>
      <c r="T50" s="96">
        <v>0.03</v>
      </c>
      <c r="U50" s="30"/>
      <c r="V50" s="46">
        <f t="shared" si="27"/>
        <v>2.875136325727605E-2</v>
      </c>
      <c r="W50" s="46"/>
      <c r="X50" s="46">
        <f t="shared" si="10"/>
        <v>3.0166030962530847E-2</v>
      </c>
    </row>
    <row r="51" spans="1:24" x14ac:dyDescent="0.25">
      <c r="A51" s="33" t="s">
        <v>53</v>
      </c>
      <c r="B51" s="728" t="s">
        <v>54</v>
      </c>
      <c r="C51" s="729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30"/>
      <c r="V51" s="46"/>
      <c r="W51" s="46"/>
      <c r="X51" s="46"/>
    </row>
    <row r="52" spans="1:24" ht="33.75" customHeight="1" x14ac:dyDescent="0.25">
      <c r="A52" s="33"/>
      <c r="B52" s="726" t="s">
        <v>73</v>
      </c>
      <c r="C52" s="72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>
        <v>1192.2</v>
      </c>
      <c r="Q52" s="78">
        <v>1192.2</v>
      </c>
      <c r="R52" s="78">
        <f t="shared" ref="R52" si="71">P52-Q52</f>
        <v>0</v>
      </c>
      <c r="S52" s="78">
        <f t="shared" ref="S52" si="72">F52+I52+L52+O52+R52</f>
        <v>0</v>
      </c>
      <c r="T52" s="78"/>
      <c r="U52" s="30"/>
      <c r="V52" s="46"/>
      <c r="W52" s="46"/>
      <c r="X52" s="46"/>
    </row>
    <row r="53" spans="1:24" ht="36" customHeight="1" thickBot="1" x14ac:dyDescent="0.3">
      <c r="A53" s="33"/>
      <c r="B53" s="724" t="s">
        <v>74</v>
      </c>
      <c r="C53" s="725"/>
      <c r="D53" s="75">
        <v>2572.3000000000002</v>
      </c>
      <c r="E53" s="75">
        <v>2179.1</v>
      </c>
      <c r="F53" s="75">
        <f t="shared" ref="F53" si="73">D53-E53</f>
        <v>393.20000000000027</v>
      </c>
      <c r="G53" s="75">
        <v>400.5</v>
      </c>
      <c r="H53" s="75">
        <v>400.5</v>
      </c>
      <c r="I53" s="75">
        <f t="shared" ref="I53" si="74">G53-H53</f>
        <v>0</v>
      </c>
      <c r="J53" s="75"/>
      <c r="K53" s="75"/>
      <c r="L53" s="75"/>
      <c r="M53" s="75"/>
      <c r="N53" s="75"/>
      <c r="O53" s="75"/>
      <c r="P53" s="75"/>
      <c r="Q53" s="75"/>
      <c r="R53" s="75">
        <f t="shared" ref="R53" si="75">P53-Q53</f>
        <v>0</v>
      </c>
      <c r="S53" s="75">
        <f t="shared" ref="S53" si="76">F53+I53+L53+O53+R53</f>
        <v>393.20000000000027</v>
      </c>
      <c r="T53" s="75"/>
      <c r="U53" s="30"/>
      <c r="V53" s="46"/>
      <c r="W53" s="46"/>
      <c r="X53" s="46"/>
    </row>
    <row r="54" spans="1:24" ht="15.75" thickBot="1" x14ac:dyDescent="0.3">
      <c r="A54" s="66"/>
      <c r="B54" s="94" t="s">
        <v>23</v>
      </c>
      <c r="C54" s="64"/>
      <c r="D54" s="76">
        <f>SUM(D51:D53)</f>
        <v>2572.3000000000002</v>
      </c>
      <c r="E54" s="76">
        <f t="shared" ref="E54" si="77">SUM(E51:E53)</f>
        <v>2179.1</v>
      </c>
      <c r="F54" s="77">
        <f t="shared" ref="F54" si="78">SUM(F51:F53)</f>
        <v>393.20000000000027</v>
      </c>
      <c r="G54" s="76">
        <f t="shared" ref="G54" si="79">SUM(G51:G53)</f>
        <v>400.5</v>
      </c>
      <c r="H54" s="76">
        <f t="shared" ref="H54" si="80">SUM(H51:H53)</f>
        <v>400.5</v>
      </c>
      <c r="I54" s="77">
        <f t="shared" ref="I54" si="81">SUM(I51:I53)</f>
        <v>0</v>
      </c>
      <c r="J54" s="76">
        <f t="shared" ref="J54" si="82">SUM(J51:J53)</f>
        <v>0</v>
      </c>
      <c r="K54" s="76">
        <f t="shared" ref="K54" si="83">SUM(K51:K53)</f>
        <v>0</v>
      </c>
      <c r="L54" s="77">
        <f t="shared" ref="L54" si="84">SUM(L51:L53)</f>
        <v>0</v>
      </c>
      <c r="M54" s="76">
        <f t="shared" ref="M54" si="85">SUM(M51:M53)</f>
        <v>0</v>
      </c>
      <c r="N54" s="76">
        <f t="shared" ref="N54" si="86">SUM(N51:N53)</f>
        <v>0</v>
      </c>
      <c r="O54" s="77">
        <f t="shared" ref="O54" si="87">SUM(O51:O53)</f>
        <v>0</v>
      </c>
      <c r="P54" s="76">
        <f t="shared" ref="P54" si="88">SUM(P51:P53)</f>
        <v>1192.2</v>
      </c>
      <c r="Q54" s="76">
        <f t="shared" ref="Q54" si="89">SUM(Q51:Q53)</f>
        <v>1192.2</v>
      </c>
      <c r="R54" s="77">
        <f t="shared" ref="R54" si="90">SUM(R51:R53)</f>
        <v>0</v>
      </c>
      <c r="S54" s="77">
        <f t="shared" ref="S54" si="91">SUM(S51:S53)</f>
        <v>393.20000000000027</v>
      </c>
      <c r="T54" s="96">
        <v>0.13200000000000001</v>
      </c>
      <c r="U54" s="30"/>
      <c r="V54" s="46">
        <f t="shared" si="27"/>
        <v>9.4405762304922036E-2</v>
      </c>
      <c r="W54" s="46"/>
      <c r="X54" s="46">
        <f t="shared" si="10"/>
        <v>0.13226587728740591</v>
      </c>
    </row>
    <row r="55" spans="1:24" x14ac:dyDescent="0.25">
      <c r="A55" s="33" t="s">
        <v>55</v>
      </c>
      <c r="B55" s="728" t="s">
        <v>56</v>
      </c>
      <c r="C55" s="729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30"/>
      <c r="V55" s="46"/>
      <c r="W55" s="46"/>
      <c r="X55" s="46"/>
    </row>
    <row r="56" spans="1:24" ht="30.75" customHeight="1" x14ac:dyDescent="0.25">
      <c r="A56" s="33"/>
      <c r="B56" s="726" t="s">
        <v>73</v>
      </c>
      <c r="C56" s="727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>
        <v>491.7</v>
      </c>
      <c r="Q56" s="92">
        <v>491.7</v>
      </c>
      <c r="R56" s="92">
        <f t="shared" ref="R56" si="92">P56-Q56</f>
        <v>0</v>
      </c>
      <c r="S56" s="92">
        <f t="shared" ref="S56" si="93">F56+I56+L56+O56+R56</f>
        <v>0</v>
      </c>
      <c r="T56" s="92"/>
      <c r="U56" s="30"/>
      <c r="V56" s="46"/>
      <c r="W56" s="46"/>
      <c r="X56" s="46"/>
    </row>
    <row r="57" spans="1:24" ht="33.75" customHeight="1" thickBot="1" x14ac:dyDescent="0.3">
      <c r="A57" s="33"/>
      <c r="B57" s="724" t="s">
        <v>74</v>
      </c>
      <c r="C57" s="725"/>
      <c r="D57" s="75"/>
      <c r="E57" s="75"/>
      <c r="F57" s="75"/>
      <c r="G57" s="75">
        <v>200</v>
      </c>
      <c r="H57" s="75">
        <v>199.9</v>
      </c>
      <c r="I57" s="75">
        <f t="shared" ref="I57" si="94">G57-H57</f>
        <v>9.9999999999994316E-2</v>
      </c>
      <c r="J57" s="75"/>
      <c r="K57" s="75"/>
      <c r="L57" s="75"/>
      <c r="M57" s="75"/>
      <c r="N57" s="75"/>
      <c r="O57" s="75"/>
      <c r="P57" s="75"/>
      <c r="Q57" s="75"/>
      <c r="R57" s="75">
        <f t="shared" ref="R57" si="95">P57-Q57</f>
        <v>0</v>
      </c>
      <c r="S57" s="75">
        <f t="shared" ref="S57" si="96">F57+I57+L57+O57+R57</f>
        <v>9.9999999999994316E-2</v>
      </c>
      <c r="T57" s="75"/>
      <c r="U57" s="30"/>
      <c r="V57" s="46"/>
      <c r="W57" s="46"/>
      <c r="X57" s="46"/>
    </row>
    <row r="58" spans="1:24" ht="15.75" thickBot="1" x14ac:dyDescent="0.3">
      <c r="A58" s="66"/>
      <c r="B58" s="64" t="s">
        <v>23</v>
      </c>
      <c r="C58" s="64"/>
      <c r="D58" s="76">
        <f>SUM(D55:D57)</f>
        <v>0</v>
      </c>
      <c r="E58" s="76">
        <f t="shared" ref="E58" si="97">SUM(E55:E57)</f>
        <v>0</v>
      </c>
      <c r="F58" s="77">
        <f t="shared" ref="F58" si="98">SUM(F55:F57)</f>
        <v>0</v>
      </c>
      <c r="G58" s="76">
        <f t="shared" ref="G58" si="99">SUM(G55:G57)</f>
        <v>200</v>
      </c>
      <c r="H58" s="76">
        <f t="shared" ref="H58" si="100">SUM(H55:H57)</f>
        <v>199.9</v>
      </c>
      <c r="I58" s="77">
        <f t="shared" ref="I58" si="101">SUM(I55:I57)</f>
        <v>9.9999999999994316E-2</v>
      </c>
      <c r="J58" s="76">
        <f t="shared" ref="J58" si="102">SUM(J55:J57)</f>
        <v>0</v>
      </c>
      <c r="K58" s="76">
        <f t="shared" ref="K58" si="103">SUM(K55:K57)</f>
        <v>0</v>
      </c>
      <c r="L58" s="77">
        <f t="shared" ref="L58" si="104">SUM(L55:L57)</f>
        <v>0</v>
      </c>
      <c r="M58" s="76">
        <f t="shared" ref="M58" si="105">SUM(M55:M57)</f>
        <v>0</v>
      </c>
      <c r="N58" s="76">
        <f t="shared" ref="N58" si="106">SUM(N55:N57)</f>
        <v>0</v>
      </c>
      <c r="O58" s="77">
        <f>SUM(O55:O57)</f>
        <v>0</v>
      </c>
      <c r="P58" s="76">
        <f t="shared" ref="P58" si="107">SUM(P55:P57)</f>
        <v>491.7</v>
      </c>
      <c r="Q58" s="76">
        <f t="shared" ref="Q58" si="108">SUM(Q55:Q57)</f>
        <v>491.7</v>
      </c>
      <c r="R58" s="77">
        <f t="shared" ref="R58" si="109">SUM(R55:R57)</f>
        <v>0</v>
      </c>
      <c r="S58" s="77">
        <f>SUM(S55:S57)</f>
        <v>9.9999999999994316E-2</v>
      </c>
      <c r="T58" s="97">
        <v>5.0000000000000001E-4</v>
      </c>
      <c r="U58" s="30"/>
      <c r="V58" s="108">
        <f>S58/(D58+G58+J58+M58+P58)</f>
        <v>1.4457134595922266E-4</v>
      </c>
      <c r="W58" s="46"/>
      <c r="X58" s="108">
        <f>S58/(D58+G58+J58+M58)</f>
        <v>4.999999999999716E-4</v>
      </c>
    </row>
    <row r="59" spans="1:24" x14ac:dyDescent="0.25">
      <c r="A59" s="33" t="s">
        <v>57</v>
      </c>
      <c r="B59" s="728" t="s">
        <v>58</v>
      </c>
      <c r="C59" s="729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30"/>
      <c r="V59" s="46"/>
      <c r="W59" s="46"/>
      <c r="X59" s="46"/>
    </row>
    <row r="60" spans="1:24" ht="33" customHeight="1" x14ac:dyDescent="0.25">
      <c r="A60" s="33"/>
      <c r="B60" s="726" t="s">
        <v>73</v>
      </c>
      <c r="C60" s="727"/>
      <c r="D60" s="92">
        <v>3838.7</v>
      </c>
      <c r="E60" s="92">
        <v>3792.3</v>
      </c>
      <c r="F60" s="92">
        <f t="shared" ref="F60" si="110">D60-E60</f>
        <v>46.399999999999636</v>
      </c>
      <c r="G60" s="92">
        <v>496.3</v>
      </c>
      <c r="H60" s="92">
        <v>383.7</v>
      </c>
      <c r="I60" s="92">
        <f t="shared" ref="I60" si="111">G60-H60</f>
        <v>112.60000000000002</v>
      </c>
      <c r="J60" s="92"/>
      <c r="K60" s="92"/>
      <c r="L60" s="92"/>
      <c r="M60" s="92">
        <v>22505.4</v>
      </c>
      <c r="N60" s="92">
        <v>14966.1</v>
      </c>
      <c r="O60" s="92">
        <f>M60-N60</f>
        <v>7539.3000000000011</v>
      </c>
      <c r="P60" s="92">
        <v>3279.2</v>
      </c>
      <c r="Q60" s="92">
        <v>3279.2</v>
      </c>
      <c r="R60" s="92">
        <f t="shared" ref="R60" si="112">P60-Q60</f>
        <v>0</v>
      </c>
      <c r="S60" s="92">
        <f t="shared" ref="S60" si="113">F60+I60+L60+O60+R60</f>
        <v>7698.3000000000011</v>
      </c>
      <c r="T60" s="92"/>
      <c r="U60" s="30"/>
      <c r="V60" s="46"/>
      <c r="W60" s="46"/>
      <c r="X60" s="46"/>
    </row>
    <row r="61" spans="1:24" ht="34.5" customHeight="1" thickBot="1" x14ac:dyDescent="0.3">
      <c r="A61" s="33"/>
      <c r="B61" s="724" t="s">
        <v>74</v>
      </c>
      <c r="C61" s="725"/>
      <c r="D61" s="75">
        <v>29679.3</v>
      </c>
      <c r="E61" s="75">
        <v>29516.3</v>
      </c>
      <c r="F61" s="75">
        <f t="shared" ref="F61" si="114">D61-E61</f>
        <v>163</v>
      </c>
      <c r="G61" s="75">
        <v>456.8</v>
      </c>
      <c r="H61" s="75">
        <v>456.8</v>
      </c>
      <c r="I61" s="75">
        <f t="shared" ref="I61" si="115">G61-H61</f>
        <v>0</v>
      </c>
      <c r="J61" s="75"/>
      <c r="K61" s="75"/>
      <c r="L61" s="75"/>
      <c r="M61" s="75"/>
      <c r="N61" s="75"/>
      <c r="O61" s="75"/>
      <c r="P61" s="75"/>
      <c r="Q61" s="75"/>
      <c r="R61" s="75">
        <f t="shared" ref="R61" si="116">P61-Q61</f>
        <v>0</v>
      </c>
      <c r="S61" s="75">
        <f t="shared" ref="S61" si="117">F61+I61+L61+O61+R61</f>
        <v>163</v>
      </c>
      <c r="T61" s="75"/>
      <c r="U61" s="30"/>
      <c r="V61" s="46"/>
      <c r="W61" s="46"/>
      <c r="X61" s="46"/>
    </row>
    <row r="62" spans="1:24" ht="15.75" thickBot="1" x14ac:dyDescent="0.3">
      <c r="A62" s="66"/>
      <c r="B62" s="94" t="s">
        <v>23</v>
      </c>
      <c r="C62" s="64"/>
      <c r="D62" s="76">
        <f>SUM(D59:D61)</f>
        <v>33518</v>
      </c>
      <c r="E62" s="76">
        <f t="shared" ref="E62" si="118">SUM(E59:E61)</f>
        <v>33308.6</v>
      </c>
      <c r="F62" s="77">
        <f t="shared" ref="F62" si="119">SUM(F59:F61)</f>
        <v>209.39999999999964</v>
      </c>
      <c r="G62" s="76">
        <f t="shared" ref="G62" si="120">SUM(G59:G61)</f>
        <v>953.1</v>
      </c>
      <c r="H62" s="76">
        <f t="shared" ref="H62" si="121">SUM(H59:H61)</f>
        <v>840.5</v>
      </c>
      <c r="I62" s="77">
        <f t="shared" ref="I62" si="122">SUM(I59:I61)</f>
        <v>112.60000000000002</v>
      </c>
      <c r="J62" s="76">
        <f t="shared" ref="J62" si="123">SUM(J59:J61)</f>
        <v>0</v>
      </c>
      <c r="K62" s="76">
        <f t="shared" ref="K62" si="124">SUM(K59:K61)</f>
        <v>0</v>
      </c>
      <c r="L62" s="77">
        <f t="shared" ref="L62" si="125">SUM(L59:L61)</f>
        <v>0</v>
      </c>
      <c r="M62" s="76">
        <f t="shared" ref="M62" si="126">SUM(M59:M61)</f>
        <v>22505.4</v>
      </c>
      <c r="N62" s="76">
        <f t="shared" ref="N62" si="127">SUM(N59:N61)</f>
        <v>14966.1</v>
      </c>
      <c r="O62" s="77">
        <f t="shared" ref="O62" si="128">SUM(O59:O61)</f>
        <v>7539.3000000000011</v>
      </c>
      <c r="P62" s="76">
        <f t="shared" ref="P62" si="129">SUM(P59:P61)</f>
        <v>3279.2</v>
      </c>
      <c r="Q62" s="76">
        <f t="shared" ref="Q62" si="130">SUM(Q59:Q61)</f>
        <v>3279.2</v>
      </c>
      <c r="R62" s="77">
        <f t="shared" ref="R62" si="131">SUM(R59:R61)</f>
        <v>0</v>
      </c>
      <c r="S62" s="77">
        <f t="shared" ref="S62" si="132">SUM(S59:S61)</f>
        <v>7861.3000000000011</v>
      </c>
      <c r="T62" s="96">
        <v>0.13800000000000001</v>
      </c>
      <c r="U62" s="30"/>
      <c r="V62" s="46">
        <f t="shared" si="27"/>
        <v>0.13046566548890812</v>
      </c>
      <c r="W62" s="46"/>
      <c r="X62" s="46">
        <f t="shared" si="10"/>
        <v>0.13797442805367127</v>
      </c>
    </row>
    <row r="63" spans="1:24" x14ac:dyDescent="0.25">
      <c r="A63" s="33" t="s">
        <v>60</v>
      </c>
      <c r="B63" s="728" t="s">
        <v>59</v>
      </c>
      <c r="C63" s="729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30"/>
      <c r="V63" s="46"/>
      <c r="W63" s="46"/>
      <c r="X63" s="46"/>
    </row>
    <row r="64" spans="1:24" ht="33.75" customHeight="1" x14ac:dyDescent="0.25">
      <c r="A64" s="33"/>
      <c r="B64" s="726" t="s">
        <v>73</v>
      </c>
      <c r="C64" s="727"/>
      <c r="D64" s="92"/>
      <c r="E64" s="92"/>
      <c r="F64" s="92">
        <f t="shared" ref="F64" si="133">D64-E64</f>
        <v>0</v>
      </c>
      <c r="G64" s="92">
        <v>80</v>
      </c>
      <c r="H64" s="92">
        <v>64.900000000000006</v>
      </c>
      <c r="I64" s="92">
        <f t="shared" ref="I64" si="134">G64-H64</f>
        <v>15.099999999999994</v>
      </c>
      <c r="J64" s="92"/>
      <c r="K64" s="92"/>
      <c r="L64" s="92"/>
      <c r="M64" s="92"/>
      <c r="N64" s="92"/>
      <c r="O64" s="92">
        <f>M64-N64</f>
        <v>0</v>
      </c>
      <c r="P64" s="92">
        <v>1221.2</v>
      </c>
      <c r="Q64" s="92">
        <v>1221.2</v>
      </c>
      <c r="R64" s="92">
        <f t="shared" ref="R64" si="135">P64-Q64</f>
        <v>0</v>
      </c>
      <c r="S64" s="92">
        <f t="shared" ref="S64" si="136">F64+I64+L64+O64+R64</f>
        <v>15.099999999999994</v>
      </c>
      <c r="T64" s="92"/>
      <c r="U64" s="30"/>
      <c r="V64" s="46"/>
      <c r="W64" s="46"/>
      <c r="X64" s="46"/>
    </row>
    <row r="65" spans="1:24" ht="32.25" customHeight="1" thickBot="1" x14ac:dyDescent="0.3">
      <c r="A65" s="33"/>
      <c r="B65" s="724" t="s">
        <v>74</v>
      </c>
      <c r="C65" s="725"/>
      <c r="D65" s="75">
        <v>3184.7</v>
      </c>
      <c r="E65" s="75">
        <v>3184.7</v>
      </c>
      <c r="F65" s="75">
        <f t="shared" ref="F65" si="137">D65-E65</f>
        <v>0</v>
      </c>
      <c r="G65" s="75">
        <v>499.3</v>
      </c>
      <c r="H65" s="75">
        <v>499.3</v>
      </c>
      <c r="I65" s="75">
        <f t="shared" ref="I65" si="138">G65-H65</f>
        <v>0</v>
      </c>
      <c r="J65" s="75"/>
      <c r="K65" s="75"/>
      <c r="L65" s="75"/>
      <c r="M65" s="75"/>
      <c r="N65" s="75"/>
      <c r="O65" s="75"/>
      <c r="P65" s="75"/>
      <c r="Q65" s="75"/>
      <c r="R65" s="75">
        <f t="shared" ref="R65" si="139">P65-Q65</f>
        <v>0</v>
      </c>
      <c r="S65" s="75">
        <f t="shared" ref="S65" si="140">F65+I65+L65+O65+R65</f>
        <v>0</v>
      </c>
      <c r="T65" s="75"/>
      <c r="U65" s="30"/>
      <c r="V65" s="46"/>
      <c r="W65" s="46"/>
      <c r="X65" s="46"/>
    </row>
    <row r="66" spans="1:24" ht="15.75" thickBot="1" x14ac:dyDescent="0.3">
      <c r="A66" s="66"/>
      <c r="B66" s="94" t="s">
        <v>23</v>
      </c>
      <c r="C66" s="64"/>
      <c r="D66" s="76">
        <f>SUM(D63:D65)</f>
        <v>3184.7</v>
      </c>
      <c r="E66" s="76">
        <f t="shared" ref="E66" si="141">SUM(E63:E65)</f>
        <v>3184.7</v>
      </c>
      <c r="F66" s="77">
        <f t="shared" ref="F66" si="142">SUM(F63:F65)</f>
        <v>0</v>
      </c>
      <c r="G66" s="76">
        <f t="shared" ref="G66" si="143">SUM(G63:G65)</f>
        <v>579.29999999999995</v>
      </c>
      <c r="H66" s="76">
        <f t="shared" ref="H66" si="144">SUM(H63:H65)</f>
        <v>564.20000000000005</v>
      </c>
      <c r="I66" s="77">
        <f t="shared" ref="I66" si="145">SUM(I63:I65)</f>
        <v>15.099999999999994</v>
      </c>
      <c r="J66" s="76">
        <f t="shared" ref="J66" si="146">SUM(J63:J65)</f>
        <v>0</v>
      </c>
      <c r="K66" s="76">
        <f t="shared" ref="K66" si="147">SUM(K63:K65)</f>
        <v>0</v>
      </c>
      <c r="L66" s="77">
        <f t="shared" ref="L66" si="148">SUM(L63:L65)</f>
        <v>0</v>
      </c>
      <c r="M66" s="76">
        <f t="shared" ref="M66" si="149">SUM(M63:M65)</f>
        <v>0</v>
      </c>
      <c r="N66" s="76">
        <f t="shared" ref="N66" si="150">SUM(N63:N65)</f>
        <v>0</v>
      </c>
      <c r="O66" s="77">
        <f t="shared" ref="O66" si="151">SUM(O63:O65)</f>
        <v>0</v>
      </c>
      <c r="P66" s="76">
        <f t="shared" ref="P66" si="152">SUM(P63:P65)</f>
        <v>1221.2</v>
      </c>
      <c r="Q66" s="76">
        <f t="shared" ref="Q66" si="153">SUM(Q63:Q65)</f>
        <v>1221.2</v>
      </c>
      <c r="R66" s="77">
        <f t="shared" ref="R66" si="154">SUM(R63:R65)</f>
        <v>0</v>
      </c>
      <c r="S66" s="77">
        <f t="shared" ref="S66" si="155">SUM(S63:S65)</f>
        <v>15.099999999999994</v>
      </c>
      <c r="T66" s="96">
        <v>4.0000000000000001E-3</v>
      </c>
      <c r="U66" s="30"/>
      <c r="V66" s="46">
        <f t="shared" si="27"/>
        <v>3.0289657385862141E-3</v>
      </c>
      <c r="W66" s="46"/>
      <c r="X66" s="46">
        <f t="shared" si="10"/>
        <v>4.0116896918172143E-3</v>
      </c>
    </row>
    <row r="67" spans="1:24" x14ac:dyDescent="0.25">
      <c r="A67" s="33" t="s">
        <v>61</v>
      </c>
      <c r="B67" s="728" t="s">
        <v>62</v>
      </c>
      <c r="C67" s="729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30"/>
      <c r="V67" s="46"/>
      <c r="W67" s="46"/>
      <c r="X67" s="46"/>
    </row>
    <row r="68" spans="1:24" ht="32.25" customHeight="1" x14ac:dyDescent="0.25">
      <c r="A68" s="33"/>
      <c r="B68" s="726" t="s">
        <v>73</v>
      </c>
      <c r="C68" s="727"/>
      <c r="D68" s="92">
        <v>74753.8</v>
      </c>
      <c r="E68" s="92">
        <v>65904.2</v>
      </c>
      <c r="F68" s="92">
        <f>D68-E68</f>
        <v>8849.6000000000058</v>
      </c>
      <c r="G68" s="92"/>
      <c r="H68" s="92"/>
      <c r="I68" s="92"/>
      <c r="J68" s="92"/>
      <c r="K68" s="92"/>
      <c r="L68" s="92"/>
      <c r="M68" s="92"/>
      <c r="N68" s="92"/>
      <c r="O68" s="92"/>
      <c r="P68" s="92">
        <v>2300</v>
      </c>
      <c r="Q68" s="92">
        <v>2300</v>
      </c>
      <c r="R68" s="92">
        <f>P68-Q68</f>
        <v>0</v>
      </c>
      <c r="S68" s="92"/>
      <c r="T68" s="92"/>
      <c r="U68" s="30"/>
      <c r="V68" s="46"/>
      <c r="W68" s="46"/>
      <c r="X68" s="46"/>
    </row>
    <row r="69" spans="1:24" ht="34.5" customHeight="1" thickBot="1" x14ac:dyDescent="0.3">
      <c r="A69" s="33"/>
      <c r="B69" s="724" t="s">
        <v>74</v>
      </c>
      <c r="C69" s="725"/>
      <c r="D69" s="75">
        <v>9813.5</v>
      </c>
      <c r="E69" s="75">
        <v>9805.5</v>
      </c>
      <c r="F69" s="75">
        <f>D69-E69</f>
        <v>8</v>
      </c>
      <c r="G69" s="75">
        <v>95</v>
      </c>
      <c r="H69" s="75">
        <v>95</v>
      </c>
      <c r="I69" s="75"/>
      <c r="J69" s="75"/>
      <c r="K69" s="75"/>
      <c r="L69" s="75"/>
      <c r="M69" s="75"/>
      <c r="N69" s="75"/>
      <c r="O69" s="75"/>
      <c r="P69" s="75"/>
      <c r="Q69" s="75"/>
      <c r="R69" s="75">
        <v>0</v>
      </c>
      <c r="S69" s="75"/>
      <c r="T69" s="75"/>
      <c r="U69" s="30"/>
      <c r="V69" s="46"/>
      <c r="W69" s="46"/>
      <c r="X69" s="46"/>
    </row>
    <row r="70" spans="1:24" ht="15.75" thickBot="1" x14ac:dyDescent="0.3">
      <c r="A70" s="66"/>
      <c r="B70" s="64" t="s">
        <v>23</v>
      </c>
      <c r="C70" s="64"/>
      <c r="D70" s="101">
        <f>SUM(D67:D69)</f>
        <v>84567.3</v>
      </c>
      <c r="E70" s="101">
        <f>SUM(E67:E69)</f>
        <v>75709.7</v>
      </c>
      <c r="F70" s="102">
        <f>D70-E70</f>
        <v>8857.6000000000058</v>
      </c>
      <c r="G70" s="101">
        <f>SUM(G67:G69)</f>
        <v>95</v>
      </c>
      <c r="H70" s="101">
        <f>SUM(H67:H69)</f>
        <v>95</v>
      </c>
      <c r="I70" s="102">
        <f t="shared" si="8"/>
        <v>0</v>
      </c>
      <c r="J70" s="101"/>
      <c r="K70" s="101"/>
      <c r="L70" s="102">
        <v>0</v>
      </c>
      <c r="M70" s="101"/>
      <c r="N70" s="103"/>
      <c r="O70" s="102">
        <v>0</v>
      </c>
      <c r="P70" s="101">
        <f>SUM(P67:P69)</f>
        <v>2300</v>
      </c>
      <c r="Q70" s="101">
        <f>SUM(Q67:Q69)</f>
        <v>2300</v>
      </c>
      <c r="R70" s="102">
        <f t="shared" si="0"/>
        <v>0</v>
      </c>
      <c r="S70" s="104">
        <f>F70+I70+L70+O70+R70</f>
        <v>8857.6000000000058</v>
      </c>
      <c r="T70" s="39">
        <v>0.105</v>
      </c>
      <c r="U70" s="30"/>
      <c r="V70" s="46">
        <f>S70/(D70+G70+J70+M70+P70)</f>
        <v>0.10185563169327405</v>
      </c>
      <c r="W70" s="46"/>
      <c r="X70" s="46">
        <f>S70/(D70+G70+J70+M70)</f>
        <v>0.10462271873076925</v>
      </c>
    </row>
    <row r="71" spans="1:24" ht="15.75" thickBot="1" x14ac:dyDescent="0.3">
      <c r="A71" s="65"/>
      <c r="B71" s="99" t="s">
        <v>63</v>
      </c>
      <c r="C71" s="100"/>
      <c r="D71" s="105">
        <f>D18+D22+D26+D30+D34+D38+D42+D46+D50+D54+D58+D62+D66+D70</f>
        <v>275990.40000000002</v>
      </c>
      <c r="E71" s="105">
        <f>E18+E22+E26+E30+E34+E38+E42+E46+E50+E54+E58+E62+E66+E70</f>
        <v>253170.40000000002</v>
      </c>
      <c r="F71" s="106">
        <f t="shared" ref="F71:R71" si="156">F18+F22+F26+F30+F34+F38+F42+F46+F50+F54+F58+F62+F66+F70</f>
        <v>22820.000000000004</v>
      </c>
      <c r="G71" s="105">
        <f t="shared" si="156"/>
        <v>8070.6</v>
      </c>
      <c r="H71" s="105">
        <f t="shared" si="156"/>
        <v>6870.7999999999993</v>
      </c>
      <c r="I71" s="106">
        <f t="shared" si="156"/>
        <v>1199.7999999999997</v>
      </c>
      <c r="J71" s="105">
        <f t="shared" si="156"/>
        <v>0</v>
      </c>
      <c r="K71" s="105">
        <f t="shared" si="156"/>
        <v>0</v>
      </c>
      <c r="L71" s="106">
        <f t="shared" si="156"/>
        <v>0</v>
      </c>
      <c r="M71" s="101">
        <f t="shared" si="156"/>
        <v>22505.4</v>
      </c>
      <c r="N71" s="105">
        <f t="shared" si="156"/>
        <v>14966.1</v>
      </c>
      <c r="O71" s="106">
        <f t="shared" si="156"/>
        <v>7539.3000000000011</v>
      </c>
      <c r="P71" s="105">
        <f t="shared" si="156"/>
        <v>18452.800000000003</v>
      </c>
      <c r="Q71" s="105">
        <f t="shared" si="156"/>
        <v>18452.800000000003</v>
      </c>
      <c r="R71" s="106">
        <f t="shared" si="156"/>
        <v>0</v>
      </c>
      <c r="S71" s="106">
        <f>S18+S22+S26+S30+S34+S38+S42+S46+S50+S54+S58+S62+S66+S70</f>
        <v>31559.100000000006</v>
      </c>
      <c r="T71" s="98">
        <v>0.10299999999999999</v>
      </c>
      <c r="U71" s="30"/>
      <c r="V71" s="46">
        <f>S71/(D71+G71+J71+M71+P71)</f>
        <v>9.7099186755736297E-2</v>
      </c>
      <c r="W71" s="46"/>
      <c r="X71" s="46">
        <f>S71/(D71+G71+J71+M71)</f>
        <v>0.10294376683159016</v>
      </c>
    </row>
    <row r="73" spans="1:24" x14ac:dyDescent="0.25">
      <c r="G73" s="2"/>
    </row>
    <row r="74" spans="1:24" x14ac:dyDescent="0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24" x14ac:dyDescent="0.25">
      <c r="D75" s="26"/>
      <c r="E75" s="26"/>
    </row>
    <row r="76" spans="1:24" x14ac:dyDescent="0.25">
      <c r="D76" s="26" t="s">
        <v>13</v>
      </c>
      <c r="E76" s="20"/>
      <c r="F76" s="29">
        <f>D71+G71+J71+M71+P71</f>
        <v>325019.2</v>
      </c>
      <c r="J76" s="26" t="s">
        <v>16</v>
      </c>
      <c r="K76" s="26"/>
      <c r="L76" s="20">
        <f>F71+I71+L71+O71+R71</f>
        <v>31559.100000000006</v>
      </c>
    </row>
    <row r="77" spans="1:24" x14ac:dyDescent="0.25">
      <c r="D77" s="26" t="s">
        <v>12</v>
      </c>
      <c r="E77" s="26"/>
      <c r="F77" s="85">
        <f>E71+H71+K71+N71+Q71</f>
        <v>293460.09999999998</v>
      </c>
      <c r="G77" s="31" t="s">
        <v>64</v>
      </c>
      <c r="H77" s="83">
        <f>6+22+4+15+4+10+6+4+8+8+5+19+4+13</f>
        <v>128</v>
      </c>
      <c r="M77" s="2"/>
    </row>
    <row r="78" spans="1:24" x14ac:dyDescent="0.25">
      <c r="D78" s="26" t="s">
        <v>15</v>
      </c>
      <c r="F78" s="29">
        <f>E20+E28+E32+E36+E60+E68+H20+H28+H36+H44+H48+H60+H64+N60+E31</f>
        <v>164489.5</v>
      </c>
      <c r="G78" s="31" t="s">
        <v>65</v>
      </c>
      <c r="H78" s="84">
        <f>2+3+1+2+2+3+2+2+1+2+6</f>
        <v>26</v>
      </c>
      <c r="J78" s="26" t="s">
        <v>19</v>
      </c>
      <c r="L78" s="48">
        <f>L76/F76</f>
        <v>9.7099186755736297E-2</v>
      </c>
      <c r="S78" s="26"/>
    </row>
    <row r="79" spans="1:24" x14ac:dyDescent="0.25">
      <c r="D79" s="26" t="s">
        <v>14</v>
      </c>
      <c r="F79" s="29">
        <f>Q71</f>
        <v>18452.800000000003</v>
      </c>
      <c r="G79" s="31" t="s">
        <v>65</v>
      </c>
      <c r="H79" s="84">
        <f>2+12+1+8+1+4+1+1+2+4+2+7+3+1</f>
        <v>49</v>
      </c>
    </row>
    <row r="80" spans="1:24" x14ac:dyDescent="0.25">
      <c r="D80" s="26" t="s">
        <v>66</v>
      </c>
      <c r="F80" s="79">
        <f>E17+E21+E25+E33+E37+E41+E45+E49+E53+E61+E69+E65+H17+H21+H25+H33+H53+H57+H61+H65+H69</f>
        <v>110517.8</v>
      </c>
      <c r="G80" s="31" t="s">
        <v>67</v>
      </c>
      <c r="H80" s="84">
        <f>4+8+3+6+4+3+3+3+2+3+7+1+6</f>
        <v>53</v>
      </c>
      <c r="N80" s="116"/>
      <c r="O80" s="116"/>
      <c r="P80" s="116" t="s">
        <v>75</v>
      </c>
      <c r="Q80" s="116" t="s">
        <v>76</v>
      </c>
    </row>
    <row r="81" spans="4:18" x14ac:dyDescent="0.25">
      <c r="G81" s="2"/>
      <c r="N81" s="116"/>
      <c r="O81" s="116"/>
      <c r="P81" s="116"/>
      <c r="Q81" s="116"/>
    </row>
    <row r="82" spans="4:18" x14ac:dyDescent="0.25">
      <c r="N82" s="116" t="s">
        <v>68</v>
      </c>
      <c r="O82" s="116"/>
      <c r="P82" s="116">
        <f>5+3+3+2+2+4+2+5+5+4+5+2+9</f>
        <v>51</v>
      </c>
      <c r="Q82" s="116">
        <f>3+2+2+2+2+2+2+5+2+4+5+2+9</f>
        <v>42</v>
      </c>
      <c r="R82">
        <v>13</v>
      </c>
    </row>
    <row r="83" spans="4:18" ht="30" x14ac:dyDescent="0.25">
      <c r="F83" s="80">
        <f>F78+F79+F80</f>
        <v>293460.09999999998</v>
      </c>
      <c r="H83">
        <f>H78+H79+H80</f>
        <v>128</v>
      </c>
      <c r="N83" s="117" t="s">
        <v>77</v>
      </c>
      <c r="O83" s="116"/>
      <c r="P83" s="116">
        <f>2+2+5+2+2+5+4+2+3+3+2+2</f>
        <v>34</v>
      </c>
      <c r="Q83" s="116">
        <f>2+2+4+2+2+5+4+2+3+3+2+2</f>
        <v>33</v>
      </c>
      <c r="R83">
        <v>12</v>
      </c>
    </row>
    <row r="84" spans="4:18" x14ac:dyDescent="0.25">
      <c r="N84" s="116" t="s">
        <v>70</v>
      </c>
      <c r="O84" s="116"/>
      <c r="P84" s="116">
        <v>3</v>
      </c>
      <c r="Q84" s="116">
        <v>3</v>
      </c>
      <c r="R84">
        <v>1</v>
      </c>
    </row>
    <row r="85" spans="4:18" x14ac:dyDescent="0.25">
      <c r="D85" s="26" t="s">
        <v>68</v>
      </c>
      <c r="F85" s="29">
        <f>D20+D28+D32+D36+D60+D68+D31</f>
        <v>169512.00000000003</v>
      </c>
      <c r="G85" s="29">
        <f>E20+E28+E32+E36+E60+E68+E31</f>
        <v>147338.4</v>
      </c>
      <c r="H85" s="46">
        <f>G85/$G90</f>
        <v>0.50207302457812841</v>
      </c>
      <c r="I85" s="46">
        <f>F85/F90</f>
        <v>0.52154457336674265</v>
      </c>
      <c r="J85">
        <f>1+2+1+1+2+6</f>
        <v>13</v>
      </c>
      <c r="K85" s="46">
        <f>J85/J90</f>
        <v>0.1015625</v>
      </c>
      <c r="N85" s="116" t="s">
        <v>78</v>
      </c>
      <c r="O85" s="116"/>
      <c r="P85" s="116">
        <f>4+8+3+6+4+3+3+3+2+3+7+1+6</f>
        <v>53</v>
      </c>
      <c r="Q85" s="116">
        <f>4+8+3+6+4+3+3+3+2+3+7+1+6</f>
        <v>53</v>
      </c>
      <c r="R85">
        <v>53</v>
      </c>
    </row>
    <row r="86" spans="4:18" x14ac:dyDescent="0.25">
      <c r="D86" s="26" t="s">
        <v>69</v>
      </c>
      <c r="F86" s="29">
        <f>G20+G28+G36+G44+G48+G60+G64</f>
        <v>3246.9</v>
      </c>
      <c r="G86" s="29">
        <f>H20+H28+H36+H44+H48+H60+H64</f>
        <v>2185</v>
      </c>
      <c r="H86" s="46">
        <f>G86/G90</f>
        <v>7.445645932786093E-3</v>
      </c>
      <c r="I86" s="46">
        <f>F86/F90</f>
        <v>9.9898713675992054E-3</v>
      </c>
      <c r="J86">
        <f>1+1+1+1+1+3+2+2</f>
        <v>12</v>
      </c>
      <c r="K86" s="46">
        <f>J86/J90</f>
        <v>9.375E-2</v>
      </c>
      <c r="P86">
        <f>SUM(P82:P85)</f>
        <v>141</v>
      </c>
      <c r="Q86">
        <f>SUM(Q82:Q85)</f>
        <v>131</v>
      </c>
      <c r="R86" s="118">
        <f>SUM(R82:R85)</f>
        <v>79</v>
      </c>
    </row>
    <row r="87" spans="4:18" x14ac:dyDescent="0.25">
      <c r="D87" s="26" t="s">
        <v>70</v>
      </c>
      <c r="F87" s="29">
        <f>M60</f>
        <v>22505.4</v>
      </c>
      <c r="G87" s="29">
        <f>N60</f>
        <v>14966.1</v>
      </c>
      <c r="H87" s="46">
        <f>G87/G90</f>
        <v>5.0998755878567482E-2</v>
      </c>
      <c r="I87" s="46">
        <f>F87/F90</f>
        <v>6.9243293934635242E-2</v>
      </c>
      <c r="J87">
        <v>1</v>
      </c>
      <c r="K87" s="46">
        <f>J87/J90</f>
        <v>7.8125E-3</v>
      </c>
    </row>
    <row r="88" spans="4:18" x14ac:dyDescent="0.25">
      <c r="D88" s="26" t="s">
        <v>71</v>
      </c>
      <c r="F88" s="20">
        <f>P71</f>
        <v>18452.800000000003</v>
      </c>
      <c r="G88" s="20">
        <f>Q71</f>
        <v>18452.800000000003</v>
      </c>
      <c r="H88" s="46">
        <f>G88/G90</f>
        <v>6.2880098521059608E-2</v>
      </c>
      <c r="I88" s="46">
        <f>F88/F90</f>
        <v>5.6774492091544129E-2</v>
      </c>
      <c r="J88">
        <v>49</v>
      </c>
      <c r="K88" s="46">
        <f>J88/J90</f>
        <v>0.3828125</v>
      </c>
    </row>
    <row r="89" spans="4:18" x14ac:dyDescent="0.25">
      <c r="D89" s="26" t="s">
        <v>72</v>
      </c>
      <c r="F89" s="29">
        <f>D17+D21+D25+D33+D37+D41+D45+D49+D53+D61++D65+D69+G17+G21+G25+G33+G53+G57+G61+G65+G69</f>
        <v>111302.1</v>
      </c>
      <c r="G89" s="29">
        <f>E17+E21+E25+E33+E37+E41+E45+E49+E53+E61++E65+E69+H17+H21+H25+H33+H53+H57+H61+H65+H69</f>
        <v>110517.8</v>
      </c>
      <c r="H89" s="46">
        <f>G89/G90</f>
        <v>0.37660247508945854</v>
      </c>
      <c r="I89" s="46">
        <f>F89/F90</f>
        <v>0.34244776923947873</v>
      </c>
      <c r="J89">
        <v>53</v>
      </c>
      <c r="K89" s="46">
        <f>J89/J90</f>
        <v>0.4140625</v>
      </c>
    </row>
    <row r="90" spans="4:18" x14ac:dyDescent="0.25">
      <c r="F90" s="107">
        <f>SUM(F85:F89)</f>
        <v>325019.20000000007</v>
      </c>
      <c r="G90" s="107">
        <f>SUM(G85:G89)</f>
        <v>293460.09999999998</v>
      </c>
      <c r="H90" s="46">
        <f>G90/G90</f>
        <v>1</v>
      </c>
      <c r="I90" s="46">
        <f>F90/F90</f>
        <v>1</v>
      </c>
      <c r="J90">
        <f>SUM(J85:J89)</f>
        <v>128</v>
      </c>
      <c r="K90" s="46">
        <f>J90/J90</f>
        <v>1</v>
      </c>
    </row>
    <row r="94" spans="4:18" x14ac:dyDescent="0.25">
      <c r="F94" s="80">
        <f>F76-F90</f>
        <v>0</v>
      </c>
    </row>
    <row r="95" spans="4:18" x14ac:dyDescent="0.25">
      <c r="E95" s="80">
        <f>F85+F86+F87</f>
        <v>195264.30000000002</v>
      </c>
      <c r="F95" s="108">
        <f>E95/F90</f>
        <v>0.60077773866897699</v>
      </c>
    </row>
    <row r="96" spans="4:18" x14ac:dyDescent="0.25">
      <c r="E96" s="2">
        <f>F88+F89</f>
        <v>129754.90000000001</v>
      </c>
      <c r="F96" s="108">
        <f>E96/F90</f>
        <v>0.39922226133102284</v>
      </c>
      <c r="H96" s="2">
        <f>G88+G89</f>
        <v>128970.6</v>
      </c>
      <c r="I96" s="108">
        <f>H96/G90</f>
        <v>0.43948257361051812</v>
      </c>
    </row>
  </sheetData>
  <mergeCells count="76">
    <mergeCell ref="P9:R9"/>
    <mergeCell ref="J10:L10"/>
    <mergeCell ref="M10:O10"/>
    <mergeCell ref="E12:E13"/>
    <mergeCell ref="F12:F13"/>
    <mergeCell ref="H12:H13"/>
    <mergeCell ref="K12:K13"/>
    <mergeCell ref="L12:L13"/>
    <mergeCell ref="Q12:Q13"/>
    <mergeCell ref="R12:R13"/>
    <mergeCell ref="J11:L11"/>
    <mergeCell ref="M11:O11"/>
    <mergeCell ref="P10:R10"/>
    <mergeCell ref="N12:N13"/>
    <mergeCell ref="O12:O13"/>
    <mergeCell ref="D2:Q2"/>
    <mergeCell ref="R5:T5"/>
    <mergeCell ref="B6:C11"/>
    <mergeCell ref="D6:F11"/>
    <mergeCell ref="G6:I11"/>
    <mergeCell ref="J6:L6"/>
    <mergeCell ref="M6:O6"/>
    <mergeCell ref="P6:R6"/>
    <mergeCell ref="J7:L7"/>
    <mergeCell ref="M7:O7"/>
    <mergeCell ref="P7:R7"/>
    <mergeCell ref="J8:L8"/>
    <mergeCell ref="M8:O8"/>
    <mergeCell ref="P8:R8"/>
    <mergeCell ref="J9:L9"/>
    <mergeCell ref="M9:O9"/>
    <mergeCell ref="A6:A11"/>
    <mergeCell ref="B12:C12"/>
    <mergeCell ref="B14:C14"/>
    <mergeCell ref="B17:C17"/>
    <mergeCell ref="G3:N3"/>
    <mergeCell ref="B21:C21"/>
    <mergeCell ref="B25:C25"/>
    <mergeCell ref="B23:C23"/>
    <mergeCell ref="I12:I13"/>
    <mergeCell ref="B27:C27"/>
    <mergeCell ref="B29:C29"/>
    <mergeCell ref="B31:C31"/>
    <mergeCell ref="B33:C33"/>
    <mergeCell ref="B35:C35"/>
    <mergeCell ref="B37:C37"/>
    <mergeCell ref="B39:C39"/>
    <mergeCell ref="B41:C41"/>
    <mergeCell ref="B43:C43"/>
    <mergeCell ref="B45:C45"/>
    <mergeCell ref="B47:C47"/>
    <mergeCell ref="B40:C40"/>
    <mergeCell ref="B44:C44"/>
    <mergeCell ref="B65:C65"/>
    <mergeCell ref="B67:C67"/>
    <mergeCell ref="B49:C49"/>
    <mergeCell ref="B51:C51"/>
    <mergeCell ref="B53:C53"/>
    <mergeCell ref="B55:C55"/>
    <mergeCell ref="B57:C57"/>
    <mergeCell ref="B69:C69"/>
    <mergeCell ref="B16:C16"/>
    <mergeCell ref="B20:C20"/>
    <mergeCell ref="B24:C24"/>
    <mergeCell ref="B28:C28"/>
    <mergeCell ref="B32:C32"/>
    <mergeCell ref="B36:C36"/>
    <mergeCell ref="B48:C48"/>
    <mergeCell ref="B52:C52"/>
    <mergeCell ref="B56:C56"/>
    <mergeCell ref="B60:C60"/>
    <mergeCell ref="B64:C64"/>
    <mergeCell ref="B68:C68"/>
    <mergeCell ref="B59:C59"/>
    <mergeCell ref="B61:C61"/>
    <mergeCell ref="B63:C63"/>
  </mergeCells>
  <pageMargins left="0" right="0" top="0" bottom="0" header="0" footer="0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topLeftCell="C64" zoomScaleNormal="100" workbookViewId="0">
      <selection activeCell="K96" sqref="K96"/>
    </sheetView>
  </sheetViews>
  <sheetFormatPr defaultRowHeight="15" x14ac:dyDescent="0.25"/>
  <cols>
    <col min="1" max="1" width="3.42578125" customWidth="1"/>
    <col min="2" max="2" width="13.5703125" bestFit="1" customWidth="1"/>
    <col min="3" max="3" width="11.85546875" customWidth="1"/>
    <col min="4" max="4" width="10.5703125" customWidth="1"/>
    <col min="5" max="5" width="13.140625" customWidth="1"/>
    <col min="6" max="6" width="12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9.8554687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19" max="19" width="12.42578125" bestFit="1" customWidth="1"/>
    <col min="21" max="21" width="14.42578125" customWidth="1"/>
    <col min="22" max="22" width="13.42578125" customWidth="1"/>
    <col min="23" max="23" width="15.7109375" customWidth="1"/>
    <col min="24" max="24" width="14.42578125" customWidth="1"/>
    <col min="25" max="25" width="13.28515625" bestFit="1" customWidth="1"/>
    <col min="26" max="26" width="13.5703125" bestFit="1" customWidth="1"/>
  </cols>
  <sheetData>
    <row r="1" spans="1:26" x14ac:dyDescent="0.25">
      <c r="R1" s="26" t="s">
        <v>24</v>
      </c>
      <c r="S1" s="26"/>
    </row>
    <row r="2" spans="1:26" ht="18.75" x14ac:dyDescent="0.25">
      <c r="D2" s="736" t="s">
        <v>26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</row>
    <row r="3" spans="1:26" ht="24.75" customHeight="1" x14ac:dyDescent="0.25">
      <c r="F3" s="62"/>
      <c r="G3" s="736" t="s">
        <v>127</v>
      </c>
      <c r="H3" s="737"/>
      <c r="I3" s="737"/>
      <c r="J3" s="737"/>
      <c r="K3" s="737"/>
      <c r="L3" s="737"/>
      <c r="M3" s="737"/>
      <c r="N3" s="737"/>
      <c r="O3" s="62"/>
      <c r="P3" s="62"/>
    </row>
    <row r="4" spans="1:26" ht="12" customHeight="1" thickBot="1" x14ac:dyDescent="0.3">
      <c r="D4" s="18"/>
      <c r="E4" s="19"/>
      <c r="F4" s="19"/>
      <c r="G4" s="15"/>
      <c r="H4" s="19"/>
      <c r="I4" s="15"/>
      <c r="R4" s="739" t="s">
        <v>27</v>
      </c>
      <c r="S4" s="739"/>
      <c r="T4" s="739"/>
    </row>
    <row r="5" spans="1:26" ht="15" customHeight="1" x14ac:dyDescent="0.25">
      <c r="A5" s="766" t="s">
        <v>28</v>
      </c>
      <c r="B5" s="754" t="s">
        <v>29</v>
      </c>
      <c r="C5" s="755"/>
      <c r="D5" s="771" t="s">
        <v>2</v>
      </c>
      <c r="E5" s="754"/>
      <c r="F5" s="755"/>
      <c r="G5" s="754" t="s">
        <v>3</v>
      </c>
      <c r="H5" s="754"/>
      <c r="I5" s="755"/>
      <c r="J5" s="773"/>
      <c r="K5" s="774"/>
      <c r="L5" s="775"/>
      <c r="M5" s="771"/>
      <c r="N5" s="754"/>
      <c r="O5" s="754"/>
      <c r="P5" s="771"/>
      <c r="Q5" s="754"/>
      <c r="R5" s="755"/>
      <c r="S5" s="123"/>
      <c r="T5" s="124"/>
    </row>
    <row r="6" spans="1:26" ht="15" customHeight="1" x14ac:dyDescent="0.25">
      <c r="A6" s="767"/>
      <c r="B6" s="758"/>
      <c r="C6" s="759"/>
      <c r="D6" s="757"/>
      <c r="E6" s="758"/>
      <c r="F6" s="759"/>
      <c r="G6" s="758"/>
      <c r="H6" s="758"/>
      <c r="I6" s="759"/>
      <c r="J6" s="757"/>
      <c r="K6" s="758"/>
      <c r="L6" s="759"/>
      <c r="M6" s="757"/>
      <c r="N6" s="758"/>
      <c r="O6" s="758"/>
      <c r="P6" s="757"/>
      <c r="Q6" s="758"/>
      <c r="R6" s="759"/>
      <c r="S6" s="125"/>
      <c r="T6" s="126"/>
    </row>
    <row r="7" spans="1:26" x14ac:dyDescent="0.25">
      <c r="A7" s="767"/>
      <c r="B7" s="758"/>
      <c r="C7" s="759"/>
      <c r="D7" s="757"/>
      <c r="E7" s="758"/>
      <c r="F7" s="759"/>
      <c r="G7" s="758"/>
      <c r="H7" s="758"/>
      <c r="I7" s="759"/>
      <c r="J7" s="757"/>
      <c r="K7" s="758"/>
      <c r="L7" s="759"/>
      <c r="M7" s="757"/>
      <c r="N7" s="758"/>
      <c r="O7" s="758"/>
      <c r="P7" s="757"/>
      <c r="Q7" s="758"/>
      <c r="R7" s="759"/>
      <c r="S7" s="125"/>
      <c r="T7" s="126"/>
    </row>
    <row r="8" spans="1:26" ht="15" customHeight="1" x14ac:dyDescent="0.25">
      <c r="A8" s="767"/>
      <c r="B8" s="758"/>
      <c r="C8" s="759"/>
      <c r="D8" s="757"/>
      <c r="E8" s="758"/>
      <c r="F8" s="759"/>
      <c r="G8" s="758"/>
      <c r="H8" s="758"/>
      <c r="I8" s="759"/>
      <c r="J8" s="757" t="s">
        <v>4</v>
      </c>
      <c r="K8" s="758"/>
      <c r="L8" s="758"/>
      <c r="M8" s="757" t="s">
        <v>5</v>
      </c>
      <c r="N8" s="758"/>
      <c r="O8" s="759"/>
      <c r="P8" s="757" t="s">
        <v>5</v>
      </c>
      <c r="Q8" s="758"/>
      <c r="R8" s="759"/>
      <c r="S8" s="125"/>
      <c r="T8" s="126"/>
    </row>
    <row r="9" spans="1:26" x14ac:dyDescent="0.25">
      <c r="A9" s="767"/>
      <c r="B9" s="758"/>
      <c r="C9" s="759"/>
      <c r="D9" s="757"/>
      <c r="E9" s="758"/>
      <c r="F9" s="759"/>
      <c r="G9" s="758"/>
      <c r="H9" s="758"/>
      <c r="I9" s="759"/>
      <c r="J9" s="760"/>
      <c r="K9" s="761"/>
      <c r="L9" s="762"/>
      <c r="M9" s="763" t="s">
        <v>40</v>
      </c>
      <c r="N9" s="764"/>
      <c r="O9" s="765"/>
      <c r="P9" s="763" t="s">
        <v>95</v>
      </c>
      <c r="Q9" s="764"/>
      <c r="R9" s="765"/>
      <c r="S9" s="125"/>
      <c r="T9" s="126"/>
    </row>
    <row r="10" spans="1:26" ht="15.75" thickBot="1" x14ac:dyDescent="0.3">
      <c r="A10" s="768"/>
      <c r="B10" s="769"/>
      <c r="C10" s="770"/>
      <c r="D10" s="772"/>
      <c r="E10" s="769"/>
      <c r="F10" s="770"/>
      <c r="G10" s="769"/>
      <c r="H10" s="769"/>
      <c r="I10" s="770"/>
      <c r="J10" s="751"/>
      <c r="K10" s="752"/>
      <c r="L10" s="753"/>
      <c r="M10" s="751"/>
      <c r="N10" s="752"/>
      <c r="O10" s="752"/>
      <c r="P10" s="127"/>
      <c r="Q10" s="128"/>
      <c r="R10" s="129"/>
      <c r="S10" s="130"/>
      <c r="T10" s="131"/>
      <c r="U10" s="27"/>
      <c r="V10" s="27"/>
    </row>
    <row r="11" spans="1:26" ht="72" customHeight="1" thickBot="1" x14ac:dyDescent="0.3">
      <c r="A11" s="132"/>
      <c r="B11" s="754" t="s">
        <v>30</v>
      </c>
      <c r="C11" s="755"/>
      <c r="D11" s="133" t="s">
        <v>37</v>
      </c>
      <c r="E11" s="749" t="s">
        <v>9</v>
      </c>
      <c r="F11" s="747" t="s">
        <v>39</v>
      </c>
      <c r="G11" s="133" t="s">
        <v>38</v>
      </c>
      <c r="H11" s="749" t="s">
        <v>9</v>
      </c>
      <c r="I11" s="747" t="s">
        <v>39</v>
      </c>
      <c r="J11" s="133" t="s">
        <v>38</v>
      </c>
      <c r="K11" s="749" t="s">
        <v>11</v>
      </c>
      <c r="L11" s="747" t="s">
        <v>39</v>
      </c>
      <c r="M11" s="133" t="s">
        <v>38</v>
      </c>
      <c r="N11" s="749" t="s">
        <v>9</v>
      </c>
      <c r="O11" s="747" t="s">
        <v>39</v>
      </c>
      <c r="P11" s="133" t="s">
        <v>38</v>
      </c>
      <c r="Q11" s="749" t="s">
        <v>9</v>
      </c>
      <c r="R11" s="747" t="s">
        <v>39</v>
      </c>
      <c r="S11" s="134" t="s">
        <v>17</v>
      </c>
      <c r="T11" s="135" t="s">
        <v>18</v>
      </c>
      <c r="U11" s="27"/>
      <c r="V11" s="27"/>
    </row>
    <row r="12" spans="1:26" ht="15.75" hidden="1" customHeight="1" thickBot="1" x14ac:dyDescent="0.3">
      <c r="A12" s="132"/>
      <c r="B12" s="136"/>
      <c r="C12" s="136"/>
      <c r="D12" s="137" t="s">
        <v>8</v>
      </c>
      <c r="E12" s="756"/>
      <c r="F12" s="748"/>
      <c r="G12" s="138" t="s">
        <v>8</v>
      </c>
      <c r="H12" s="750"/>
      <c r="I12" s="748"/>
      <c r="J12" s="138" t="s">
        <v>8</v>
      </c>
      <c r="K12" s="750"/>
      <c r="L12" s="748"/>
      <c r="M12" s="138" t="s">
        <v>8</v>
      </c>
      <c r="N12" s="750"/>
      <c r="O12" s="748"/>
      <c r="P12" s="138" t="s">
        <v>8</v>
      </c>
      <c r="Q12" s="750"/>
      <c r="R12" s="748"/>
      <c r="S12" s="134"/>
      <c r="T12" s="134"/>
      <c r="U12" s="27"/>
      <c r="V12" s="27"/>
    </row>
    <row r="13" spans="1:26" ht="15.75" thickBot="1" x14ac:dyDescent="0.3">
      <c r="A13" s="63">
        <v>1</v>
      </c>
      <c r="B13" s="734">
        <v>2</v>
      </c>
      <c r="C13" s="735"/>
      <c r="D13" s="122">
        <v>3</v>
      </c>
      <c r="E13" s="119">
        <v>4</v>
      </c>
      <c r="F13" s="121">
        <v>5</v>
      </c>
      <c r="G13" s="120">
        <v>6</v>
      </c>
      <c r="H13" s="121">
        <v>7</v>
      </c>
      <c r="I13" s="121">
        <v>8</v>
      </c>
      <c r="J13" s="121">
        <v>9</v>
      </c>
      <c r="K13" s="121">
        <v>10</v>
      </c>
      <c r="L13" s="121">
        <v>11</v>
      </c>
      <c r="M13" s="121">
        <v>12</v>
      </c>
      <c r="N13" s="121">
        <v>13</v>
      </c>
      <c r="O13" s="121">
        <v>14</v>
      </c>
      <c r="P13" s="121">
        <v>15</v>
      </c>
      <c r="Q13" s="121">
        <v>16</v>
      </c>
      <c r="R13" s="121">
        <v>17</v>
      </c>
      <c r="S13" s="122">
        <v>18</v>
      </c>
      <c r="T13" s="122">
        <v>19</v>
      </c>
      <c r="U13" s="27"/>
      <c r="V13" s="27"/>
    </row>
    <row r="14" spans="1:26" ht="15" customHeight="1" x14ac:dyDescent="0.25">
      <c r="A14" s="89" t="s">
        <v>31</v>
      </c>
      <c r="B14" s="148" t="s">
        <v>32</v>
      </c>
      <c r="C14" s="149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52"/>
      <c r="V14" s="152"/>
      <c r="W14" s="46"/>
    </row>
    <row r="15" spans="1:26" ht="35.25" customHeight="1" x14ac:dyDescent="0.25">
      <c r="A15" s="90"/>
      <c r="B15" s="726" t="s">
        <v>73</v>
      </c>
      <c r="C15" s="727"/>
      <c r="D15" s="92">
        <v>10685966.460000001</v>
      </c>
      <c r="E15" s="92">
        <v>8614212.6300000008</v>
      </c>
      <c r="F15" s="92">
        <f>D15-E15</f>
        <v>2071753.83</v>
      </c>
      <c r="G15" s="91"/>
      <c r="H15" s="91"/>
      <c r="I15" s="91"/>
      <c r="J15" s="91"/>
      <c r="K15" s="91"/>
      <c r="L15" s="91"/>
      <c r="M15" s="92">
        <v>137583.51999999999</v>
      </c>
      <c r="N15" s="92">
        <v>111336.94</v>
      </c>
      <c r="O15" s="91">
        <f>M15-N15</f>
        <v>26246.579999999987</v>
      </c>
      <c r="P15" s="92">
        <v>450000</v>
      </c>
      <c r="Q15" s="92">
        <v>450000</v>
      </c>
      <c r="R15" s="91">
        <f>P15-Q15</f>
        <v>0</v>
      </c>
      <c r="S15" s="91">
        <f>F15+I15+L15+O15+R15</f>
        <v>2098000.41</v>
      </c>
      <c r="T15" s="91"/>
      <c r="U15" s="215">
        <f>D15+G15+J15+M15+P15</f>
        <v>11273549.98</v>
      </c>
      <c r="V15" s="215">
        <f>E15+H15+K15+N15+Q15</f>
        <v>9175549.5700000003</v>
      </c>
      <c r="W15" s="46"/>
      <c r="Y15" s="218">
        <f>M15+P15</f>
        <v>587583.52</v>
      </c>
    </row>
    <row r="16" spans="1:26" ht="36" customHeight="1" thickBot="1" x14ac:dyDescent="0.3">
      <c r="A16" s="53"/>
      <c r="B16" s="730" t="s">
        <v>74</v>
      </c>
      <c r="C16" s="731"/>
      <c r="D16" s="75">
        <v>12790829.5</v>
      </c>
      <c r="E16" s="75">
        <v>12790829.5</v>
      </c>
      <c r="F16" s="75">
        <f>D16-E16</f>
        <v>0</v>
      </c>
      <c r="G16" s="75"/>
      <c r="H16" s="75"/>
      <c r="I16" s="75">
        <f>G16-H16</f>
        <v>0</v>
      </c>
      <c r="J16" s="75"/>
      <c r="K16" s="75"/>
      <c r="L16" s="75"/>
      <c r="M16" s="75"/>
      <c r="N16" s="75"/>
      <c r="O16" s="75"/>
      <c r="P16" s="75"/>
      <c r="Q16" s="75"/>
      <c r="R16" s="75">
        <f t="shared" ref="R16:R69" si="0">P16-Q16</f>
        <v>0</v>
      </c>
      <c r="S16" s="75">
        <f t="shared" ref="S16:S40" si="1">F16+I16+L16+O16+R16</f>
        <v>0</v>
      </c>
      <c r="T16" s="75"/>
      <c r="U16" s="152">
        <f t="shared" ref="U16:U47" si="2">D16+G16+J16+M16+P16</f>
        <v>12790829.5</v>
      </c>
      <c r="V16" s="152">
        <f t="shared" ref="V16:V69" si="3">E16+H16+K16+N16+Q16</f>
        <v>12790829.5</v>
      </c>
      <c r="W16" s="201" t="s">
        <v>79</v>
      </c>
      <c r="X16" s="80">
        <f>E17+H17+J17</f>
        <v>21405042.130000003</v>
      </c>
      <c r="Y16" s="26" t="s">
        <v>80</v>
      </c>
      <c r="Z16" s="80">
        <f>N17+Q17</f>
        <v>561336.93999999994</v>
      </c>
    </row>
    <row r="17" spans="1:26" ht="15" customHeight="1" thickBot="1" x14ac:dyDescent="0.3">
      <c r="A17" s="93"/>
      <c r="B17" s="94" t="s">
        <v>23</v>
      </c>
      <c r="C17" s="61"/>
      <c r="D17" s="71">
        <f>D15+D16</f>
        <v>23476795.960000001</v>
      </c>
      <c r="E17" s="71">
        <f>E15+E16</f>
        <v>21405042.130000003</v>
      </c>
      <c r="F17" s="77">
        <f>D17-E17</f>
        <v>2071753.8299999982</v>
      </c>
      <c r="G17" s="73">
        <f t="shared" ref="G17:R17" si="4">G16+G14</f>
        <v>0</v>
      </c>
      <c r="H17" s="73">
        <f t="shared" si="4"/>
        <v>0</v>
      </c>
      <c r="I17" s="72">
        <f t="shared" si="4"/>
        <v>0</v>
      </c>
      <c r="J17" s="73">
        <f t="shared" si="4"/>
        <v>0</v>
      </c>
      <c r="K17" s="73">
        <f t="shared" si="4"/>
        <v>0</v>
      </c>
      <c r="L17" s="72">
        <f t="shared" si="4"/>
        <v>0</v>
      </c>
      <c r="M17" s="73">
        <f>M15</f>
        <v>137583.51999999999</v>
      </c>
      <c r="N17" s="73">
        <f>N15</f>
        <v>111336.94</v>
      </c>
      <c r="O17" s="72">
        <f>O15</f>
        <v>26246.579999999987</v>
      </c>
      <c r="P17" s="73">
        <f>P15</f>
        <v>450000</v>
      </c>
      <c r="Q17" s="73">
        <f>Q15</f>
        <v>450000</v>
      </c>
      <c r="R17" s="72">
        <f t="shared" si="4"/>
        <v>0</v>
      </c>
      <c r="S17" s="104">
        <f>S16+S15</f>
        <v>2098000.41</v>
      </c>
      <c r="T17" s="196"/>
      <c r="U17" s="200">
        <f t="shared" si="2"/>
        <v>24064379.48</v>
      </c>
      <c r="V17" s="200">
        <f>E17+H17+K17+N17+Q17</f>
        <v>21966379.070000004</v>
      </c>
      <c r="W17" s="323">
        <f>S17/(D17+G17+J17+M17+P17)</f>
        <v>8.7182817730399265E-2</v>
      </c>
      <c r="X17" s="46"/>
      <c r="Y17" s="323">
        <f>S17/(D17+G17+J17)</f>
        <v>8.9364852579312537E-2</v>
      </c>
    </row>
    <row r="18" spans="1:26" x14ac:dyDescent="0.25">
      <c r="A18" s="33" t="s">
        <v>33</v>
      </c>
      <c r="B18" s="150" t="s">
        <v>34</v>
      </c>
      <c r="C18" s="15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152">
        <f t="shared" si="2"/>
        <v>0</v>
      </c>
      <c r="V18" s="152">
        <f t="shared" si="3"/>
        <v>0</v>
      </c>
      <c r="W18" s="46"/>
      <c r="X18" s="80">
        <f>V17-Z16</f>
        <v>21405042.130000003</v>
      </c>
      <c r="Y18" s="46"/>
    </row>
    <row r="19" spans="1:26" ht="36.75" customHeight="1" x14ac:dyDescent="0.25">
      <c r="A19" s="33"/>
      <c r="B19" s="726" t="s">
        <v>73</v>
      </c>
      <c r="C19" s="727"/>
      <c r="D19" s="92">
        <v>16422818.74</v>
      </c>
      <c r="E19" s="92">
        <v>15461306.939999999</v>
      </c>
      <c r="F19" s="92">
        <f t="shared" ref="F19:F40" si="5">D19-E19</f>
        <v>961511.80000000075</v>
      </c>
      <c r="G19" s="92">
        <v>198909.6</v>
      </c>
      <c r="H19" s="92">
        <v>113000</v>
      </c>
      <c r="I19" s="92">
        <f t="shared" ref="I19:I69" si="6">G19-H19</f>
        <v>85909.6</v>
      </c>
      <c r="J19" s="92">
        <v>525000</v>
      </c>
      <c r="K19" s="92">
        <v>510000</v>
      </c>
      <c r="L19" s="92">
        <f>J19-K19</f>
        <v>15000</v>
      </c>
      <c r="M19" s="92">
        <v>7214.2</v>
      </c>
      <c r="N19" s="92">
        <v>7214.2</v>
      </c>
      <c r="O19" s="92">
        <f>M19-N19</f>
        <v>0</v>
      </c>
      <c r="P19" s="92">
        <v>2283836.7999999998</v>
      </c>
      <c r="Q19" s="92">
        <v>2283836.7999999998</v>
      </c>
      <c r="R19" s="92">
        <f t="shared" ref="R19" si="7">P19-Q19</f>
        <v>0</v>
      </c>
      <c r="S19" s="92">
        <f t="shared" ref="S19" si="8">F19+I19+L19+O19+R19</f>
        <v>1062421.4000000008</v>
      </c>
      <c r="T19" s="92"/>
      <c r="U19" s="152">
        <f t="shared" si="2"/>
        <v>19437779.34</v>
      </c>
      <c r="V19" s="152">
        <f t="shared" si="3"/>
        <v>18375357.939999998</v>
      </c>
      <c r="W19" s="46"/>
      <c r="X19" s="46"/>
      <c r="Y19" s="80">
        <f>M19+P19</f>
        <v>2291051</v>
      </c>
    </row>
    <row r="20" spans="1:26" ht="36" customHeight="1" thickBot="1" x14ac:dyDescent="0.3">
      <c r="A20" s="33"/>
      <c r="B20" s="730" t="s">
        <v>74</v>
      </c>
      <c r="C20" s="731"/>
      <c r="D20" s="75">
        <v>111364037.03</v>
      </c>
      <c r="E20" s="75">
        <v>111360708.43000001</v>
      </c>
      <c r="F20" s="75">
        <f t="shared" si="5"/>
        <v>3328.5999999940395</v>
      </c>
      <c r="G20" s="75">
        <v>218750</v>
      </c>
      <c r="H20" s="75">
        <v>218750</v>
      </c>
      <c r="I20" s="75">
        <f t="shared" si="6"/>
        <v>0</v>
      </c>
      <c r="J20" s="75"/>
      <c r="K20" s="75"/>
      <c r="L20" s="75"/>
      <c r="M20" s="75"/>
      <c r="N20" s="75"/>
      <c r="O20" s="75"/>
      <c r="P20" s="75"/>
      <c r="Q20" s="75"/>
      <c r="R20" s="75">
        <f t="shared" si="0"/>
        <v>0</v>
      </c>
      <c r="S20" s="75">
        <f t="shared" si="1"/>
        <v>3328.5999999940395</v>
      </c>
      <c r="T20" s="75"/>
      <c r="U20" s="152">
        <f t="shared" si="2"/>
        <v>111582787.03</v>
      </c>
      <c r="V20" s="152">
        <f t="shared" si="3"/>
        <v>111579458.43000001</v>
      </c>
      <c r="W20" s="46"/>
      <c r="X20" s="46"/>
      <c r="Y20" s="46"/>
    </row>
    <row r="21" spans="1:26" ht="15.75" customHeight="1" thickBot="1" x14ac:dyDescent="0.3">
      <c r="A21" s="66"/>
      <c r="B21" s="94" t="s">
        <v>23</v>
      </c>
      <c r="C21" s="61"/>
      <c r="D21" s="88">
        <f>D19+D20</f>
        <v>127786855.77</v>
      </c>
      <c r="E21" s="76">
        <f>E19+E20</f>
        <v>126822015.37</v>
      </c>
      <c r="F21" s="77">
        <f>D21-E21</f>
        <v>964840.39999999106</v>
      </c>
      <c r="G21" s="76">
        <f>G19+G20</f>
        <v>417659.6</v>
      </c>
      <c r="H21" s="76">
        <f>H19+H20</f>
        <v>331750</v>
      </c>
      <c r="I21" s="77">
        <f t="shared" ref="I21:Q21" si="9">I19</f>
        <v>85909.6</v>
      </c>
      <c r="J21" s="76">
        <f t="shared" si="9"/>
        <v>525000</v>
      </c>
      <c r="K21" s="76">
        <f t="shared" si="9"/>
        <v>510000</v>
      </c>
      <c r="L21" s="77">
        <f t="shared" si="9"/>
        <v>15000</v>
      </c>
      <c r="M21" s="76">
        <f t="shared" si="9"/>
        <v>7214.2</v>
      </c>
      <c r="N21" s="76">
        <f t="shared" si="9"/>
        <v>7214.2</v>
      </c>
      <c r="O21" s="77">
        <f t="shared" si="9"/>
        <v>0</v>
      </c>
      <c r="P21" s="76">
        <f t="shared" si="9"/>
        <v>2283836.7999999998</v>
      </c>
      <c r="Q21" s="76">
        <f t="shared" si="9"/>
        <v>2283836.7999999998</v>
      </c>
      <c r="R21" s="77">
        <f t="shared" ref="R21" si="10">R18+R20</f>
        <v>0</v>
      </c>
      <c r="S21" s="104">
        <f>S19+S20</f>
        <v>1065749.9999999949</v>
      </c>
      <c r="T21" s="60"/>
      <c r="U21" s="200">
        <f>D21+G21+J21+M21+P21</f>
        <v>131020566.36999999</v>
      </c>
      <c r="V21" s="200">
        <f>E21+H21+K21+N21+Q21</f>
        <v>129954816.37</v>
      </c>
      <c r="W21" s="323">
        <f>S21/(D21+G21+J21+M21+P21)</f>
        <v>8.1342191499182946E-3</v>
      </c>
      <c r="X21" s="80">
        <f>E21+H21+K21</f>
        <v>127663765.37</v>
      </c>
      <c r="Y21" s="323">
        <f>S21/(D21+G21+J21)</f>
        <v>8.2789871222366512E-3</v>
      </c>
      <c r="Z21" s="2">
        <f>N21+Q21</f>
        <v>2291051</v>
      </c>
    </row>
    <row r="22" spans="1:26" ht="16.5" customHeight="1" x14ac:dyDescent="0.25">
      <c r="A22" s="33" t="s">
        <v>36</v>
      </c>
      <c r="B22" s="745" t="s">
        <v>35</v>
      </c>
      <c r="C22" s="74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52">
        <f t="shared" si="2"/>
        <v>0</v>
      </c>
      <c r="V22" s="152">
        <f t="shared" si="3"/>
        <v>0</v>
      </c>
      <c r="W22" s="46"/>
      <c r="X22" s="80">
        <f>V21-Z21</f>
        <v>127663765.37</v>
      </c>
      <c r="Y22" s="46"/>
    </row>
    <row r="23" spans="1:26" ht="35.25" customHeight="1" thickBot="1" x14ac:dyDescent="0.3">
      <c r="A23" s="33"/>
      <c r="B23" s="726" t="s">
        <v>73</v>
      </c>
      <c r="C23" s="727"/>
      <c r="D23" s="92">
        <v>4544483</v>
      </c>
      <c r="E23" s="92">
        <v>4058960.63</v>
      </c>
      <c r="F23" s="75">
        <f>D23-E23</f>
        <v>485522.37000000011</v>
      </c>
      <c r="G23" s="92">
        <v>499998</v>
      </c>
      <c r="H23" s="92">
        <v>474998</v>
      </c>
      <c r="I23" s="92">
        <f>G23-H23</f>
        <v>25000</v>
      </c>
      <c r="J23" s="92">
        <v>500000</v>
      </c>
      <c r="K23" s="92">
        <v>298000</v>
      </c>
      <c r="L23" s="92">
        <f>J23-K23</f>
        <v>202000</v>
      </c>
      <c r="M23" s="92"/>
      <c r="N23" s="92"/>
      <c r="O23" s="92"/>
      <c r="P23" s="92">
        <v>850000</v>
      </c>
      <c r="Q23" s="92">
        <v>850000</v>
      </c>
      <c r="R23" s="92">
        <f>P23-Q23</f>
        <v>0</v>
      </c>
      <c r="S23" s="75">
        <f t="shared" si="1"/>
        <v>712522.37000000011</v>
      </c>
      <c r="T23" s="92"/>
      <c r="U23" s="152">
        <f t="shared" si="2"/>
        <v>6394481</v>
      </c>
      <c r="V23" s="152">
        <f t="shared" si="3"/>
        <v>5681958.6299999999</v>
      </c>
      <c r="W23" s="46"/>
      <c r="X23" s="46"/>
      <c r="Y23" s="46"/>
    </row>
    <row r="24" spans="1:26" ht="34.5" customHeight="1" thickBot="1" x14ac:dyDescent="0.3">
      <c r="A24" s="33"/>
      <c r="B24" s="730" t="s">
        <v>74</v>
      </c>
      <c r="C24" s="731"/>
      <c r="D24" s="75">
        <v>3582000</v>
      </c>
      <c r="E24" s="75">
        <v>3579812.5</v>
      </c>
      <c r="F24" s="75">
        <f t="shared" si="5"/>
        <v>2187.5</v>
      </c>
      <c r="G24" s="75">
        <v>350000</v>
      </c>
      <c r="H24" s="75">
        <v>350000</v>
      </c>
      <c r="I24" s="75">
        <f t="shared" si="6"/>
        <v>0</v>
      </c>
      <c r="J24" s="75"/>
      <c r="K24" s="75"/>
      <c r="L24" s="75"/>
      <c r="M24" s="75"/>
      <c r="N24" s="75"/>
      <c r="O24" s="75"/>
      <c r="P24" s="75"/>
      <c r="Q24" s="75"/>
      <c r="R24" s="75">
        <f t="shared" si="0"/>
        <v>0</v>
      </c>
      <c r="S24" s="75">
        <f t="shared" si="1"/>
        <v>2187.5</v>
      </c>
      <c r="T24" s="75"/>
      <c r="U24" s="152">
        <f t="shared" si="2"/>
        <v>3932000</v>
      </c>
      <c r="V24" s="152">
        <f t="shared" si="3"/>
        <v>3929812.5</v>
      </c>
      <c r="W24" s="46"/>
      <c r="X24" s="80">
        <f>E25+H25+K25</f>
        <v>8761771.129999999</v>
      </c>
      <c r="Y24" s="46"/>
      <c r="Z24" s="2">
        <f>N25+Q25</f>
        <v>850000</v>
      </c>
    </row>
    <row r="25" spans="1:26" ht="15.75" thickBot="1" x14ac:dyDescent="0.3">
      <c r="A25" s="66"/>
      <c r="B25" s="64" t="s">
        <v>23</v>
      </c>
      <c r="C25" s="59"/>
      <c r="D25" s="76">
        <f>D23+D24</f>
        <v>8126483</v>
      </c>
      <c r="E25" s="76">
        <f>E23+E24</f>
        <v>7638773.1299999999</v>
      </c>
      <c r="F25" s="77">
        <f>D25-E25</f>
        <v>487709.87000000011</v>
      </c>
      <c r="G25" s="76">
        <f>SUM(G23:G24)</f>
        <v>849998</v>
      </c>
      <c r="H25" s="76">
        <f>SUM(H23:H24)</f>
        <v>824998</v>
      </c>
      <c r="I25" s="77">
        <f>I23+I24</f>
        <v>25000</v>
      </c>
      <c r="J25" s="76">
        <f>J23+J24</f>
        <v>500000</v>
      </c>
      <c r="K25" s="76">
        <f t="shared" ref="K25:L25" si="11">K23+K24</f>
        <v>298000</v>
      </c>
      <c r="L25" s="77">
        <f t="shared" si="11"/>
        <v>202000</v>
      </c>
      <c r="M25" s="76">
        <f t="shared" ref="M25:O25" si="12">M22+M24</f>
        <v>0</v>
      </c>
      <c r="N25" s="76">
        <f t="shared" si="12"/>
        <v>0</v>
      </c>
      <c r="O25" s="77">
        <f t="shared" si="12"/>
        <v>0</v>
      </c>
      <c r="P25" s="76">
        <f>P23</f>
        <v>850000</v>
      </c>
      <c r="Q25" s="76">
        <f>Q23</f>
        <v>850000</v>
      </c>
      <c r="R25" s="77">
        <f>R23</f>
        <v>0</v>
      </c>
      <c r="S25" s="104">
        <f>S23+S24</f>
        <v>714709.87000000011</v>
      </c>
      <c r="T25" s="193"/>
      <c r="U25" s="200">
        <f t="shared" si="2"/>
        <v>10326481</v>
      </c>
      <c r="V25" s="200">
        <f t="shared" si="3"/>
        <v>9611771.129999999</v>
      </c>
      <c r="W25" s="323">
        <f>S25/(D25+G25+J25+M25+P25)</f>
        <v>6.9211367357379552E-2</v>
      </c>
      <c r="X25" s="80">
        <f>V25-Z24</f>
        <v>8761771.129999999</v>
      </c>
      <c r="Y25" s="323">
        <f>S25/(D25+G25+J25)</f>
        <v>7.5419332344991791E-2</v>
      </c>
    </row>
    <row r="26" spans="1:26" x14ac:dyDescent="0.25">
      <c r="A26" s="33" t="s">
        <v>42</v>
      </c>
      <c r="B26" s="745" t="s">
        <v>41</v>
      </c>
      <c r="C26" s="74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52">
        <f t="shared" si="2"/>
        <v>0</v>
      </c>
      <c r="V26" s="152">
        <f t="shared" si="3"/>
        <v>0</v>
      </c>
      <c r="W26" s="46"/>
      <c r="X26" s="46"/>
      <c r="Y26" s="46"/>
    </row>
    <row r="27" spans="1:26" ht="34.5" customHeight="1" x14ac:dyDescent="0.25">
      <c r="A27" s="33"/>
      <c r="B27" s="726" t="s">
        <v>73</v>
      </c>
      <c r="C27" s="727"/>
      <c r="D27" s="92"/>
      <c r="E27" s="92"/>
      <c r="F27" s="92">
        <f t="shared" si="5"/>
        <v>0</v>
      </c>
      <c r="G27" s="92"/>
      <c r="H27" s="92"/>
      <c r="I27" s="92">
        <f>G27-H27</f>
        <v>0</v>
      </c>
      <c r="J27" s="92">
        <v>2683200</v>
      </c>
      <c r="K27" s="92">
        <v>2683200</v>
      </c>
      <c r="L27" s="92">
        <f>J27-K27</f>
        <v>0</v>
      </c>
      <c r="M27" s="92"/>
      <c r="N27" s="92"/>
      <c r="O27" s="92"/>
      <c r="P27" s="92">
        <v>4130620.9</v>
      </c>
      <c r="Q27" s="92">
        <v>4130620.9</v>
      </c>
      <c r="R27" s="92">
        <f t="shared" si="0"/>
        <v>0</v>
      </c>
      <c r="S27" s="92">
        <f t="shared" si="1"/>
        <v>0</v>
      </c>
      <c r="T27" s="92"/>
      <c r="U27" s="152">
        <f>D27+G27+J27+M27+P27</f>
        <v>6813820.9000000004</v>
      </c>
      <c r="V27" s="152">
        <f>E27+H27+K27+N27+Q27</f>
        <v>6813820.9000000004</v>
      </c>
      <c r="W27" s="46"/>
      <c r="X27" s="46"/>
      <c r="Y27" s="46"/>
    </row>
    <row r="28" spans="1:26" ht="33.75" customHeight="1" thickBot="1" x14ac:dyDescent="0.3">
      <c r="A28" s="33"/>
      <c r="B28" s="730" t="s">
        <v>74</v>
      </c>
      <c r="C28" s="731"/>
      <c r="D28" s="92">
        <v>44576206.710000001</v>
      </c>
      <c r="E28" s="92">
        <v>43161330.609999999</v>
      </c>
      <c r="F28" s="92">
        <f t="shared" si="5"/>
        <v>1414876.1000000015</v>
      </c>
      <c r="G28" s="92"/>
      <c r="H28" s="92"/>
      <c r="I28" s="75">
        <f>G28-H28</f>
        <v>0</v>
      </c>
      <c r="J28" s="75"/>
      <c r="K28" s="75"/>
      <c r="L28" s="75"/>
      <c r="M28" s="92"/>
      <c r="N28" s="92"/>
      <c r="O28" s="92">
        <f>M28-N28</f>
        <v>0</v>
      </c>
      <c r="P28" s="75"/>
      <c r="Q28" s="75"/>
      <c r="R28" s="75">
        <f t="shared" si="0"/>
        <v>0</v>
      </c>
      <c r="S28" s="75">
        <f t="shared" si="1"/>
        <v>1414876.1000000015</v>
      </c>
      <c r="T28" s="75"/>
      <c r="U28" s="152">
        <f>D28+G28+J28+M28+P28</f>
        <v>44576206.710000001</v>
      </c>
      <c r="V28" s="152">
        <f>E28+H28+K28+N28+Q28</f>
        <v>43161330.609999999</v>
      </c>
      <c r="W28" s="46"/>
      <c r="X28" s="46"/>
      <c r="Y28" s="46"/>
    </row>
    <row r="29" spans="1:26" ht="15.75" thickBot="1" x14ac:dyDescent="0.3">
      <c r="A29" s="66"/>
      <c r="B29" s="95" t="s">
        <v>23</v>
      </c>
      <c r="C29" s="59"/>
      <c r="D29" s="76">
        <f>SUM(D26:D28)</f>
        <v>44576206.710000001</v>
      </c>
      <c r="E29" s="76">
        <f t="shared" ref="E29:S29" si="13">SUM(E26:E28)</f>
        <v>43161330.609999999</v>
      </c>
      <c r="F29" s="77">
        <f t="shared" si="5"/>
        <v>1414876.1000000015</v>
      </c>
      <c r="G29" s="76">
        <f>SUM(G26:G28)</f>
        <v>0</v>
      </c>
      <c r="H29" s="76">
        <f>SUM(H26:H28)</f>
        <v>0</v>
      </c>
      <c r="I29" s="77">
        <f t="shared" si="13"/>
        <v>0</v>
      </c>
      <c r="J29" s="76">
        <f t="shared" si="13"/>
        <v>2683200</v>
      </c>
      <c r="K29" s="76">
        <f t="shared" si="13"/>
        <v>2683200</v>
      </c>
      <c r="L29" s="77">
        <f t="shared" si="13"/>
        <v>0</v>
      </c>
      <c r="M29" s="76">
        <f t="shared" si="13"/>
        <v>0</v>
      </c>
      <c r="N29" s="76">
        <f t="shared" si="13"/>
        <v>0</v>
      </c>
      <c r="O29" s="77">
        <f t="shared" si="13"/>
        <v>0</v>
      </c>
      <c r="P29" s="76">
        <f t="shared" si="13"/>
        <v>4130620.9</v>
      </c>
      <c r="Q29" s="76">
        <f t="shared" si="13"/>
        <v>4130620.9</v>
      </c>
      <c r="R29" s="111">
        <f t="shared" si="13"/>
        <v>0</v>
      </c>
      <c r="S29" s="104">
        <f t="shared" si="13"/>
        <v>1414876.1000000015</v>
      </c>
      <c r="T29" s="96"/>
      <c r="U29" s="200">
        <f>D29+G29+J29+M29+P29</f>
        <v>51390027.609999999</v>
      </c>
      <c r="V29" s="200">
        <f t="shared" si="3"/>
        <v>49975151.509999998</v>
      </c>
      <c r="W29" s="323">
        <f>S29/(D29+G29+J29+M29+P29)</f>
        <v>2.7532114026821038E-2</v>
      </c>
      <c r="X29" s="80">
        <f>E29+H29+K29</f>
        <v>45844530.609999999</v>
      </c>
      <c r="Y29" s="323">
        <f>S29/(D29+G29+J29)</f>
        <v>2.9938507452752606E-2</v>
      </c>
      <c r="Z29" s="2">
        <f>N29+Q29</f>
        <v>4130620.9</v>
      </c>
    </row>
    <row r="30" spans="1:26" x14ac:dyDescent="0.25">
      <c r="A30" s="33" t="s">
        <v>45</v>
      </c>
      <c r="B30" s="745" t="s">
        <v>43</v>
      </c>
      <c r="C30" s="74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109"/>
      <c r="S30" s="78"/>
      <c r="T30" s="110"/>
      <c r="U30" s="152">
        <f t="shared" si="2"/>
        <v>0</v>
      </c>
      <c r="V30" s="152">
        <f t="shared" si="3"/>
        <v>0</v>
      </c>
      <c r="W30" s="46"/>
      <c r="X30" s="80">
        <f>V29-Z29</f>
        <v>45844530.609999999</v>
      </c>
      <c r="Y30" s="46"/>
    </row>
    <row r="31" spans="1:26" ht="33" customHeight="1" x14ac:dyDescent="0.25">
      <c r="A31" s="33"/>
      <c r="B31" s="726" t="s">
        <v>73</v>
      </c>
      <c r="C31" s="727"/>
      <c r="D31" s="92">
        <v>475000</v>
      </c>
      <c r="E31" s="92">
        <v>451250</v>
      </c>
      <c r="F31" s="92">
        <f t="shared" ref="F31" si="14">D31-E31</f>
        <v>23750</v>
      </c>
      <c r="G31" s="92">
        <v>450001.15</v>
      </c>
      <c r="H31" s="92">
        <v>445000</v>
      </c>
      <c r="I31" s="92">
        <f t="shared" si="6"/>
        <v>5001.1500000000233</v>
      </c>
      <c r="J31" s="92">
        <v>1200000</v>
      </c>
      <c r="K31" s="92">
        <v>1100000</v>
      </c>
      <c r="L31" s="92">
        <f>J31-K31</f>
        <v>100000</v>
      </c>
      <c r="M31" s="92">
        <v>214152.9</v>
      </c>
      <c r="N31" s="92">
        <v>213459.94</v>
      </c>
      <c r="O31" s="92">
        <f>M31-N31</f>
        <v>692.95999999999185</v>
      </c>
      <c r="P31" s="92">
        <v>1233854.3999999999</v>
      </c>
      <c r="Q31" s="92">
        <v>1233854.3999999999</v>
      </c>
      <c r="R31" s="112">
        <f t="shared" ref="R31" si="15">P31-Q31</f>
        <v>0</v>
      </c>
      <c r="S31" s="92">
        <f>F31+I31+L31+O31+R31</f>
        <v>129444.11000000002</v>
      </c>
      <c r="T31" s="114"/>
      <c r="U31" s="215">
        <f t="shared" si="2"/>
        <v>3573008.4499999997</v>
      </c>
      <c r="V31" s="215">
        <f t="shared" si="3"/>
        <v>3443564.34</v>
      </c>
      <c r="W31" s="46"/>
      <c r="X31" s="46"/>
      <c r="Y31" s="218">
        <f>M31+P31</f>
        <v>1448007.2999999998</v>
      </c>
    </row>
    <row r="32" spans="1:26" ht="39" customHeight="1" thickBot="1" x14ac:dyDescent="0.3">
      <c r="A32" s="33"/>
      <c r="B32" s="730" t="s">
        <v>74</v>
      </c>
      <c r="C32" s="731"/>
      <c r="D32" s="75">
        <v>8583042.8000000007</v>
      </c>
      <c r="E32" s="75">
        <v>8583042.8000000007</v>
      </c>
      <c r="F32" s="75">
        <f t="shared" si="5"/>
        <v>0</v>
      </c>
      <c r="G32" s="75">
        <v>1150000</v>
      </c>
      <c r="H32" s="75">
        <v>1044000</v>
      </c>
      <c r="I32" s="75">
        <f t="shared" si="6"/>
        <v>106000</v>
      </c>
      <c r="J32" s="75"/>
      <c r="K32" s="75"/>
      <c r="L32" s="75"/>
      <c r="M32" s="75"/>
      <c r="N32" s="75"/>
      <c r="O32" s="75"/>
      <c r="P32" s="75"/>
      <c r="Q32" s="75"/>
      <c r="R32" s="113">
        <f t="shared" si="0"/>
        <v>0</v>
      </c>
      <c r="S32" s="75">
        <f>F32+I32+L32+O32+R32</f>
        <v>106000</v>
      </c>
      <c r="T32" s="115"/>
      <c r="U32" s="215">
        <f t="shared" si="2"/>
        <v>9733042.8000000007</v>
      </c>
      <c r="V32" s="215">
        <f t="shared" si="3"/>
        <v>9627042.8000000007</v>
      </c>
      <c r="W32" s="80"/>
      <c r="X32" s="80">
        <f>E33+H33+K33</f>
        <v>11623292.800000001</v>
      </c>
      <c r="Y32" s="46"/>
      <c r="Z32" s="2">
        <f>N33+Q33</f>
        <v>1447314.3399999999</v>
      </c>
    </row>
    <row r="33" spans="1:26" ht="15.75" thickBot="1" x14ac:dyDescent="0.3">
      <c r="A33" s="93"/>
      <c r="B33" s="94" t="s">
        <v>23</v>
      </c>
      <c r="C33" s="61"/>
      <c r="D33" s="88">
        <f>SUM(D30:D32)</f>
        <v>9058042.8000000007</v>
      </c>
      <c r="E33" s="88">
        <f t="shared" ref="E33:F33" si="16">SUM(E30:E32)</f>
        <v>9034292.8000000007</v>
      </c>
      <c r="F33" s="77">
        <f t="shared" si="16"/>
        <v>23750</v>
      </c>
      <c r="G33" s="76">
        <f t="shared" ref="G33:R33" si="17">G31+G32</f>
        <v>1600001.15</v>
      </c>
      <c r="H33" s="76">
        <f t="shared" si="17"/>
        <v>1489000</v>
      </c>
      <c r="I33" s="77">
        <f t="shared" si="17"/>
        <v>111001.15000000002</v>
      </c>
      <c r="J33" s="76">
        <f t="shared" si="17"/>
        <v>1200000</v>
      </c>
      <c r="K33" s="76">
        <f t="shared" si="17"/>
        <v>1100000</v>
      </c>
      <c r="L33" s="77">
        <f t="shared" si="17"/>
        <v>100000</v>
      </c>
      <c r="M33" s="76">
        <f t="shared" si="17"/>
        <v>214152.9</v>
      </c>
      <c r="N33" s="76">
        <f t="shared" si="17"/>
        <v>213459.94</v>
      </c>
      <c r="O33" s="77">
        <f t="shared" si="17"/>
        <v>692.95999999999185</v>
      </c>
      <c r="P33" s="76">
        <f t="shared" si="17"/>
        <v>1233854.3999999999</v>
      </c>
      <c r="Q33" s="76">
        <f t="shared" si="17"/>
        <v>1233854.3999999999</v>
      </c>
      <c r="R33" s="76">
        <f t="shared" si="17"/>
        <v>0</v>
      </c>
      <c r="S33" s="104">
        <f>F33+I33+L33+O33+R33</f>
        <v>235444.11000000002</v>
      </c>
      <c r="T33" s="60"/>
      <c r="U33" s="200">
        <f t="shared" si="2"/>
        <v>13306051.250000002</v>
      </c>
      <c r="V33" s="200">
        <f t="shared" si="3"/>
        <v>13070607.140000001</v>
      </c>
      <c r="W33" s="323">
        <f>S33/(D33+G33+J33+M33+P33)</f>
        <v>1.7694513990392152E-2</v>
      </c>
      <c r="X33" s="80">
        <f>V33-Z32</f>
        <v>11623292.800000001</v>
      </c>
      <c r="Y33" s="323">
        <f>S33/(D33+G33+J33)</f>
        <v>1.985522325543413E-2</v>
      </c>
    </row>
    <row r="34" spans="1:26" x14ac:dyDescent="0.25">
      <c r="A34" s="33" t="s">
        <v>46</v>
      </c>
      <c r="B34" s="745" t="s">
        <v>44</v>
      </c>
      <c r="C34" s="746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52">
        <f t="shared" si="2"/>
        <v>0</v>
      </c>
      <c r="V34" s="152">
        <f t="shared" si="3"/>
        <v>0</v>
      </c>
      <c r="W34" s="46"/>
      <c r="X34" s="46"/>
      <c r="Y34" s="46"/>
    </row>
    <row r="35" spans="1:26" ht="33.75" customHeight="1" x14ac:dyDescent="0.25">
      <c r="A35" s="33"/>
      <c r="B35" s="726" t="s">
        <v>73</v>
      </c>
      <c r="C35" s="727"/>
      <c r="D35" s="92">
        <v>15742588</v>
      </c>
      <c r="E35" s="92">
        <v>14276621.32</v>
      </c>
      <c r="F35" s="92">
        <f t="shared" ref="F35" si="18">D35-E35</f>
        <v>1465966.6799999997</v>
      </c>
      <c r="G35" s="92"/>
      <c r="H35" s="92"/>
      <c r="I35" s="92">
        <f t="shared" ref="I35" si="19">G35-H35</f>
        <v>0</v>
      </c>
      <c r="J35" s="289">
        <v>3499401.31</v>
      </c>
      <c r="K35" s="92"/>
      <c r="L35" s="92"/>
      <c r="M35" s="92">
        <v>141709.5</v>
      </c>
      <c r="N35" s="92">
        <v>141709.5</v>
      </c>
      <c r="O35" s="92">
        <f>M35-N35</f>
        <v>0</v>
      </c>
      <c r="P35" s="92">
        <v>1100000</v>
      </c>
      <c r="Q35" s="92">
        <v>1100000</v>
      </c>
      <c r="R35" s="92">
        <f t="shared" ref="R35" si="20">P35-Q35</f>
        <v>0</v>
      </c>
      <c r="S35" s="92">
        <f t="shared" ref="S35" si="21">F35+I35+L35+O35+R35</f>
        <v>1465966.6799999997</v>
      </c>
      <c r="T35" s="92"/>
      <c r="U35" s="152">
        <f t="shared" si="2"/>
        <v>20483698.809999999</v>
      </c>
      <c r="V35" s="152">
        <f t="shared" si="3"/>
        <v>15518330.82</v>
      </c>
      <c r="W35" s="46"/>
      <c r="X35" s="46"/>
      <c r="Y35" s="218">
        <f>M35+P35</f>
        <v>1241709.5</v>
      </c>
    </row>
    <row r="36" spans="1:26" ht="36.75" customHeight="1" thickBot="1" x14ac:dyDescent="0.3">
      <c r="A36" s="33"/>
      <c r="B36" s="724" t="s">
        <v>74</v>
      </c>
      <c r="C36" s="725"/>
      <c r="D36" s="75">
        <v>7402960</v>
      </c>
      <c r="E36" s="75">
        <v>7402960</v>
      </c>
      <c r="F36" s="75">
        <f t="shared" si="5"/>
        <v>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>
        <f t="shared" si="0"/>
        <v>0</v>
      </c>
      <c r="S36" s="75">
        <f t="shared" si="1"/>
        <v>0</v>
      </c>
      <c r="T36" s="75"/>
      <c r="U36" s="215">
        <f t="shared" si="2"/>
        <v>7402960</v>
      </c>
      <c r="V36" s="215">
        <f t="shared" si="3"/>
        <v>7402960</v>
      </c>
      <c r="W36" s="46"/>
      <c r="X36" s="46"/>
      <c r="Y36" s="46"/>
    </row>
    <row r="37" spans="1:26" ht="13.5" customHeight="1" thickBot="1" x14ac:dyDescent="0.3">
      <c r="A37" s="66"/>
      <c r="B37" s="64" t="s">
        <v>23</v>
      </c>
      <c r="C37" s="94"/>
      <c r="D37" s="76">
        <f>SUM(D34:D36)</f>
        <v>23145548</v>
      </c>
      <c r="E37" s="76">
        <f t="shared" ref="E37:R37" si="22">SUM(E34:E36)</f>
        <v>21679581.32</v>
      </c>
      <c r="F37" s="77">
        <f>D37-E37</f>
        <v>1465966.6799999997</v>
      </c>
      <c r="G37" s="76">
        <f t="shared" si="22"/>
        <v>0</v>
      </c>
      <c r="H37" s="76">
        <f t="shared" si="22"/>
        <v>0</v>
      </c>
      <c r="I37" s="77">
        <f t="shared" si="22"/>
        <v>0</v>
      </c>
      <c r="J37" s="288">
        <f t="shared" si="22"/>
        <v>3499401.31</v>
      </c>
      <c r="K37" s="76">
        <f t="shared" si="22"/>
        <v>0</v>
      </c>
      <c r="L37" s="77">
        <f t="shared" si="22"/>
        <v>0</v>
      </c>
      <c r="M37" s="76">
        <f t="shared" si="22"/>
        <v>141709.5</v>
      </c>
      <c r="N37" s="76">
        <f t="shared" si="22"/>
        <v>141709.5</v>
      </c>
      <c r="O37" s="77">
        <f t="shared" si="22"/>
        <v>0</v>
      </c>
      <c r="P37" s="76">
        <f t="shared" si="22"/>
        <v>1100000</v>
      </c>
      <c r="Q37" s="76">
        <f t="shared" si="22"/>
        <v>1100000</v>
      </c>
      <c r="R37" s="77">
        <f t="shared" si="22"/>
        <v>0</v>
      </c>
      <c r="S37" s="104">
        <f>SUM(S34:S36)</f>
        <v>1465966.6799999997</v>
      </c>
      <c r="T37" s="60"/>
      <c r="U37" s="200">
        <f t="shared" si="2"/>
        <v>27886658.809999999</v>
      </c>
      <c r="V37" s="200">
        <f t="shared" si="3"/>
        <v>22921290.82</v>
      </c>
      <c r="W37" s="323">
        <f t="shared" ref="W37" si="23">S37/(D37+G37+J37+M37+P37)</f>
        <v>5.2568745864754234E-2</v>
      </c>
      <c r="X37" s="80">
        <f>E37+H37+K37</f>
        <v>21679581.32</v>
      </c>
      <c r="Y37" s="323">
        <f>S37/(D37+G37+J37)</f>
        <v>5.5018557661500753E-2</v>
      </c>
      <c r="Z37" s="2">
        <f>N37+Q37</f>
        <v>1241709.5</v>
      </c>
    </row>
    <row r="38" spans="1:26" x14ac:dyDescent="0.25">
      <c r="A38" s="33" t="s">
        <v>49</v>
      </c>
      <c r="B38" s="745" t="s">
        <v>47</v>
      </c>
      <c r="C38" s="746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52">
        <f t="shared" si="2"/>
        <v>0</v>
      </c>
      <c r="V38" s="152">
        <f t="shared" si="3"/>
        <v>0</v>
      </c>
      <c r="W38" s="46"/>
      <c r="X38" s="80">
        <f>V37-Z37</f>
        <v>21679581.32</v>
      </c>
      <c r="Y38" s="46"/>
    </row>
    <row r="39" spans="1:26" ht="33.75" customHeight="1" x14ac:dyDescent="0.25">
      <c r="A39" s="33"/>
      <c r="B39" s="726" t="s">
        <v>73</v>
      </c>
      <c r="C39" s="727"/>
      <c r="D39" s="92">
        <v>1947318.59</v>
      </c>
      <c r="E39" s="92">
        <v>1644942.05</v>
      </c>
      <c r="F39" s="92">
        <f t="shared" si="5"/>
        <v>302376.54000000004</v>
      </c>
      <c r="G39" s="92">
        <v>263361</v>
      </c>
      <c r="H39" s="92">
        <v>220000</v>
      </c>
      <c r="I39" s="92">
        <f>G39-H39</f>
        <v>43361</v>
      </c>
      <c r="J39" s="91"/>
      <c r="K39" s="91"/>
      <c r="L39" s="91"/>
      <c r="M39" s="91"/>
      <c r="N39" s="91"/>
      <c r="O39" s="91"/>
      <c r="P39" s="92">
        <v>1500000</v>
      </c>
      <c r="Q39" s="92">
        <v>1500000</v>
      </c>
      <c r="R39" s="91">
        <f t="shared" ref="R39" si="24">P39-Q39</f>
        <v>0</v>
      </c>
      <c r="S39" s="91">
        <f t="shared" ref="S39" si="25">F39+I39+L39+O39+R39</f>
        <v>345737.54000000004</v>
      </c>
      <c r="T39" s="91"/>
      <c r="U39" s="215">
        <f t="shared" si="2"/>
        <v>3710679.59</v>
      </c>
      <c r="V39" s="215">
        <f t="shared" si="3"/>
        <v>3364942.05</v>
      </c>
      <c r="W39" s="46"/>
      <c r="X39" s="46"/>
      <c r="Y39" s="46"/>
    </row>
    <row r="40" spans="1:26" ht="34.5" customHeight="1" thickBot="1" x14ac:dyDescent="0.3">
      <c r="A40" s="33"/>
      <c r="B40" s="724" t="s">
        <v>74</v>
      </c>
      <c r="C40" s="725"/>
      <c r="D40" s="75">
        <v>10664658.939999999</v>
      </c>
      <c r="E40" s="75">
        <v>10645847.67</v>
      </c>
      <c r="F40" s="75">
        <f t="shared" si="5"/>
        <v>18811.269999999553</v>
      </c>
      <c r="G40" s="75"/>
      <c r="H40" s="75"/>
      <c r="I40" s="92">
        <f>G40-H40</f>
        <v>0</v>
      </c>
      <c r="J40" s="75"/>
      <c r="K40" s="75"/>
      <c r="L40" s="75"/>
      <c r="M40" s="75"/>
      <c r="N40" s="75"/>
      <c r="O40" s="75"/>
      <c r="P40" s="75"/>
      <c r="Q40" s="75"/>
      <c r="R40" s="75">
        <f t="shared" si="0"/>
        <v>0</v>
      </c>
      <c r="S40" s="75">
        <f t="shared" si="1"/>
        <v>18811.269999999553</v>
      </c>
      <c r="T40" s="75"/>
      <c r="U40" s="215">
        <f t="shared" si="2"/>
        <v>10664658.939999999</v>
      </c>
      <c r="V40" s="215">
        <f t="shared" si="3"/>
        <v>10645847.67</v>
      </c>
      <c r="W40" s="46"/>
      <c r="X40" s="80">
        <f>E41+H41+K41</f>
        <v>12510789.720000001</v>
      </c>
      <c r="Y40" s="46"/>
      <c r="Z40" s="2">
        <f>Q41</f>
        <v>1500000</v>
      </c>
    </row>
    <row r="41" spans="1:26" ht="15.75" thickBot="1" x14ac:dyDescent="0.3">
      <c r="A41" s="66"/>
      <c r="B41" s="94" t="s">
        <v>23</v>
      </c>
      <c r="C41" s="64"/>
      <c r="D41" s="76">
        <f>SUM(D38:D40)</f>
        <v>12611977.529999999</v>
      </c>
      <c r="E41" s="76">
        <f t="shared" ref="E41:S41" si="26">SUM(E38:E40)</f>
        <v>12290789.720000001</v>
      </c>
      <c r="F41" s="77">
        <f>D41-E41</f>
        <v>321187.80999999866</v>
      </c>
      <c r="G41" s="76">
        <f t="shared" si="26"/>
        <v>263361</v>
      </c>
      <c r="H41" s="76">
        <f t="shared" si="26"/>
        <v>220000</v>
      </c>
      <c r="I41" s="77">
        <f t="shared" si="26"/>
        <v>43361</v>
      </c>
      <c r="J41" s="76">
        <f t="shared" si="26"/>
        <v>0</v>
      </c>
      <c r="K41" s="76">
        <f t="shared" si="26"/>
        <v>0</v>
      </c>
      <c r="L41" s="77">
        <f t="shared" si="26"/>
        <v>0</v>
      </c>
      <c r="M41" s="76">
        <f t="shared" si="26"/>
        <v>0</v>
      </c>
      <c r="N41" s="76">
        <f t="shared" si="26"/>
        <v>0</v>
      </c>
      <c r="O41" s="77">
        <f t="shared" si="26"/>
        <v>0</v>
      </c>
      <c r="P41" s="76">
        <f t="shared" si="26"/>
        <v>1500000</v>
      </c>
      <c r="Q41" s="76">
        <f t="shared" si="26"/>
        <v>1500000</v>
      </c>
      <c r="R41" s="77">
        <f t="shared" si="26"/>
        <v>0</v>
      </c>
      <c r="S41" s="104">
        <f t="shared" si="26"/>
        <v>364548.80999999959</v>
      </c>
      <c r="T41" s="96"/>
      <c r="U41" s="200">
        <f t="shared" si="2"/>
        <v>14375338.529999999</v>
      </c>
      <c r="V41" s="200">
        <f t="shared" si="3"/>
        <v>14010789.720000001</v>
      </c>
      <c r="W41" s="323">
        <f t="shared" ref="W41:W65" si="27">S41/(D41+G41+J41+M41+P41)</f>
        <v>2.5359320007610257E-2</v>
      </c>
      <c r="X41" s="80">
        <f>V41-Z40</f>
        <v>12510789.720000001</v>
      </c>
      <c r="Y41" s="323">
        <f>S41/(D41+G41+J41)</f>
        <v>2.8313726210040056E-2</v>
      </c>
    </row>
    <row r="42" spans="1:26" ht="15.75" customHeight="1" x14ac:dyDescent="0.25">
      <c r="A42" s="33" t="s">
        <v>50</v>
      </c>
      <c r="B42" s="745" t="s">
        <v>48</v>
      </c>
      <c r="C42" s="74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52">
        <f t="shared" si="2"/>
        <v>0</v>
      </c>
      <c r="V42" s="152">
        <f t="shared" si="3"/>
        <v>0</v>
      </c>
      <c r="W42" s="46"/>
      <c r="X42" s="46"/>
      <c r="Y42" s="46"/>
    </row>
    <row r="43" spans="1:26" ht="34.5" customHeight="1" x14ac:dyDescent="0.25">
      <c r="A43" s="33"/>
      <c r="B43" s="726" t="s">
        <v>73</v>
      </c>
      <c r="C43" s="727"/>
      <c r="D43" s="92">
        <v>10623551.09</v>
      </c>
      <c r="E43" s="92">
        <v>10267167.439999999</v>
      </c>
      <c r="F43" s="92">
        <f t="shared" ref="F43:F44" si="28">D43-E43</f>
        <v>356383.65000000037</v>
      </c>
      <c r="G43" s="92"/>
      <c r="H43" s="92"/>
      <c r="I43" s="92">
        <f t="shared" ref="I43:I44" si="29">G43-H43</f>
        <v>0</v>
      </c>
      <c r="J43" s="92">
        <v>623333.32999999996</v>
      </c>
      <c r="K43" s="92">
        <v>623333</v>
      </c>
      <c r="L43" s="92">
        <f>J43-K43</f>
        <v>0.32999999995809048</v>
      </c>
      <c r="M43" s="92"/>
      <c r="N43" s="92"/>
      <c r="O43" s="92"/>
      <c r="P43" s="92">
        <v>5169038.8</v>
      </c>
      <c r="Q43" s="92">
        <v>5169038.8</v>
      </c>
      <c r="R43" s="92">
        <f t="shared" ref="R43:R44" si="30">P43-Q43</f>
        <v>0</v>
      </c>
      <c r="S43" s="92">
        <f t="shared" ref="S43:S44" si="31">F43+I43+L43+O43+R43</f>
        <v>356383.98000000033</v>
      </c>
      <c r="T43" s="92"/>
      <c r="U43" s="215">
        <f t="shared" si="2"/>
        <v>16415923.219999999</v>
      </c>
      <c r="V43" s="215">
        <f t="shared" si="3"/>
        <v>16059539.239999998</v>
      </c>
      <c r="W43" s="46"/>
      <c r="X43" s="46"/>
      <c r="Y43" s="46"/>
    </row>
    <row r="44" spans="1:26" ht="33.75" customHeight="1" thickBot="1" x14ac:dyDescent="0.3">
      <c r="A44" s="33"/>
      <c r="B44" s="724" t="s">
        <v>74</v>
      </c>
      <c r="C44" s="725"/>
      <c r="D44" s="75">
        <v>11929194.390000001</v>
      </c>
      <c r="E44" s="75">
        <v>11897466.789999999</v>
      </c>
      <c r="F44" s="75">
        <f t="shared" si="28"/>
        <v>31727.60000000149</v>
      </c>
      <c r="G44" s="75"/>
      <c r="H44" s="75"/>
      <c r="I44" s="75">
        <f t="shared" si="29"/>
        <v>0</v>
      </c>
      <c r="J44" s="75"/>
      <c r="K44" s="75"/>
      <c r="L44" s="75"/>
      <c r="M44" s="75"/>
      <c r="N44" s="75"/>
      <c r="O44" s="75"/>
      <c r="P44" s="75"/>
      <c r="Q44" s="75"/>
      <c r="R44" s="75">
        <f t="shared" si="30"/>
        <v>0</v>
      </c>
      <c r="S44" s="75">
        <f t="shared" si="31"/>
        <v>31727.60000000149</v>
      </c>
      <c r="T44" s="75"/>
      <c r="U44" s="215">
        <f t="shared" si="2"/>
        <v>11929194.390000001</v>
      </c>
      <c r="V44" s="215">
        <f t="shared" si="3"/>
        <v>11897466.789999999</v>
      </c>
      <c r="W44" s="46"/>
      <c r="X44" s="46"/>
      <c r="Y44" s="46"/>
    </row>
    <row r="45" spans="1:26" ht="15.75" thickBot="1" x14ac:dyDescent="0.3">
      <c r="A45" s="66"/>
      <c r="B45" s="94" t="s">
        <v>23</v>
      </c>
      <c r="C45" s="64"/>
      <c r="D45" s="76">
        <f>SUM(D42:D44)</f>
        <v>22552745.48</v>
      </c>
      <c r="E45" s="76">
        <f t="shared" ref="E45:S45" si="32">SUM(E42:E44)</f>
        <v>22164634.229999997</v>
      </c>
      <c r="F45" s="77">
        <f>D45-E45</f>
        <v>388111.25000000373</v>
      </c>
      <c r="G45" s="76">
        <f t="shared" si="32"/>
        <v>0</v>
      </c>
      <c r="H45" s="76">
        <f t="shared" si="32"/>
        <v>0</v>
      </c>
      <c r="I45" s="77">
        <f t="shared" si="32"/>
        <v>0</v>
      </c>
      <c r="J45" s="76">
        <f t="shared" si="32"/>
        <v>623333.32999999996</v>
      </c>
      <c r="K45" s="76">
        <f t="shared" si="32"/>
        <v>623333</v>
      </c>
      <c r="L45" s="77">
        <f t="shared" si="32"/>
        <v>0.32999999995809048</v>
      </c>
      <c r="M45" s="76">
        <f t="shared" si="32"/>
        <v>0</v>
      </c>
      <c r="N45" s="76">
        <f t="shared" si="32"/>
        <v>0</v>
      </c>
      <c r="O45" s="77">
        <f t="shared" si="32"/>
        <v>0</v>
      </c>
      <c r="P45" s="76">
        <f t="shared" si="32"/>
        <v>5169038.8</v>
      </c>
      <c r="Q45" s="76">
        <f t="shared" si="32"/>
        <v>5169038.8</v>
      </c>
      <c r="R45" s="77">
        <f t="shared" si="32"/>
        <v>0</v>
      </c>
      <c r="S45" s="104">
        <f t="shared" si="32"/>
        <v>388111.58000000182</v>
      </c>
      <c r="T45" s="96"/>
      <c r="U45" s="200">
        <f t="shared" si="2"/>
        <v>28345117.609999999</v>
      </c>
      <c r="V45" s="200">
        <f t="shared" si="3"/>
        <v>27957006.029999997</v>
      </c>
      <c r="W45" s="323">
        <f t="shared" si="27"/>
        <v>1.3692360897563474E-2</v>
      </c>
      <c r="X45" s="80">
        <f>E45+H45+K45</f>
        <v>22787967.229999997</v>
      </c>
      <c r="Y45" s="323">
        <f>S45/(D45+G45+J45)</f>
        <v>1.6746214197051301E-2</v>
      </c>
      <c r="Z45" s="2">
        <f>Q45</f>
        <v>5169038.8</v>
      </c>
    </row>
    <row r="46" spans="1:26" x14ac:dyDescent="0.25">
      <c r="A46" s="33" t="s">
        <v>51</v>
      </c>
      <c r="B46" s="745" t="s">
        <v>52</v>
      </c>
      <c r="C46" s="74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152">
        <f t="shared" si="2"/>
        <v>0</v>
      </c>
      <c r="V46" s="152">
        <f t="shared" si="3"/>
        <v>0</v>
      </c>
      <c r="W46" s="46"/>
      <c r="X46" s="80">
        <f>V45-Z45</f>
        <v>22787967.229999997</v>
      </c>
      <c r="Y46" s="46"/>
    </row>
    <row r="47" spans="1:26" ht="36.75" customHeight="1" x14ac:dyDescent="0.25">
      <c r="A47" s="33"/>
      <c r="B47" s="726" t="s">
        <v>73</v>
      </c>
      <c r="C47" s="727"/>
      <c r="D47" s="92">
        <v>637307</v>
      </c>
      <c r="E47" s="92">
        <v>486879.76</v>
      </c>
      <c r="F47" s="92">
        <f t="shared" ref="F47:F48" si="33">D47-E47</f>
        <v>150427.24</v>
      </c>
      <c r="G47" s="92">
        <v>848731</v>
      </c>
      <c r="H47" s="92">
        <v>674450</v>
      </c>
      <c r="I47" s="92">
        <f t="shared" ref="I47:I48" si="34">G47-H47</f>
        <v>174281</v>
      </c>
      <c r="J47" s="92"/>
      <c r="K47" s="92"/>
      <c r="L47" s="92"/>
      <c r="M47" s="92">
        <v>92968.26</v>
      </c>
      <c r="N47" s="92">
        <v>92968.26</v>
      </c>
      <c r="O47" s="92">
        <f>M47-N47</f>
        <v>0</v>
      </c>
      <c r="P47" s="92">
        <f>370000+1218.12</f>
        <v>371218.12</v>
      </c>
      <c r="Q47" s="92">
        <f>370000+1218.12</f>
        <v>371218.12</v>
      </c>
      <c r="R47" s="92">
        <f t="shared" ref="R47:R48" si="35">P47-Q47</f>
        <v>0</v>
      </c>
      <c r="S47" s="92">
        <f t="shared" ref="S47:S48" si="36">F47+I47+L47+O47+R47</f>
        <v>324708.24</v>
      </c>
      <c r="T47" s="92"/>
      <c r="U47" s="216">
        <f t="shared" si="2"/>
        <v>1950224.38</v>
      </c>
      <c r="V47" s="216">
        <f t="shared" si="3"/>
        <v>1625516.1400000001</v>
      </c>
      <c r="W47" s="46"/>
      <c r="X47" s="46"/>
      <c r="Y47" s="46"/>
    </row>
    <row r="48" spans="1:26" ht="35.25" customHeight="1" thickBot="1" x14ac:dyDescent="0.3">
      <c r="A48" s="33"/>
      <c r="B48" s="724" t="s">
        <v>74</v>
      </c>
      <c r="C48" s="725"/>
      <c r="D48" s="75">
        <v>1895449.53</v>
      </c>
      <c r="E48" s="75">
        <v>1895449.53</v>
      </c>
      <c r="F48" s="92">
        <f t="shared" si="33"/>
        <v>0</v>
      </c>
      <c r="G48" s="75">
        <v>187500</v>
      </c>
      <c r="H48" s="75">
        <v>185000</v>
      </c>
      <c r="I48" s="92">
        <f t="shared" si="34"/>
        <v>2500</v>
      </c>
      <c r="J48" s="75"/>
      <c r="K48" s="75"/>
      <c r="L48" s="75"/>
      <c r="M48" s="75"/>
      <c r="N48" s="75"/>
      <c r="O48" s="75"/>
      <c r="P48" s="75"/>
      <c r="Q48" s="75"/>
      <c r="R48" s="75">
        <f t="shared" si="35"/>
        <v>0</v>
      </c>
      <c r="S48" s="75">
        <f t="shared" si="36"/>
        <v>2500</v>
      </c>
      <c r="T48" s="75"/>
      <c r="U48" s="216">
        <f t="shared" ref="U48:U69" si="37">D48+G48+J48+M48+P48</f>
        <v>2082949.53</v>
      </c>
      <c r="V48" s="216">
        <f t="shared" si="3"/>
        <v>2080449.53</v>
      </c>
      <c r="W48" s="46"/>
      <c r="X48" s="80">
        <f>E49+H49+K49</f>
        <v>3241779.29</v>
      </c>
      <c r="Y48" s="46"/>
      <c r="Z48" s="80">
        <f>N49+Q49</f>
        <v>464186.38</v>
      </c>
    </row>
    <row r="49" spans="1:26" ht="15.75" thickBot="1" x14ac:dyDescent="0.3">
      <c r="A49" s="66"/>
      <c r="B49" s="94" t="s">
        <v>23</v>
      </c>
      <c r="C49" s="64"/>
      <c r="D49" s="76">
        <f>SUM(D46:D48)</f>
        <v>2532756.5300000003</v>
      </c>
      <c r="E49" s="76">
        <f t="shared" ref="E49:S49" si="38">SUM(E46:E48)</f>
        <v>2382329.29</v>
      </c>
      <c r="F49" s="77">
        <f t="shared" si="38"/>
        <v>150427.24</v>
      </c>
      <c r="G49" s="76">
        <f t="shared" si="38"/>
        <v>1036231</v>
      </c>
      <c r="H49" s="76">
        <f t="shared" si="38"/>
        <v>859450</v>
      </c>
      <c r="I49" s="77">
        <f t="shared" si="38"/>
        <v>176781</v>
      </c>
      <c r="J49" s="76">
        <f t="shared" si="38"/>
        <v>0</v>
      </c>
      <c r="K49" s="76">
        <f t="shared" si="38"/>
        <v>0</v>
      </c>
      <c r="L49" s="77">
        <f t="shared" si="38"/>
        <v>0</v>
      </c>
      <c r="M49" s="76">
        <f t="shared" si="38"/>
        <v>92968.26</v>
      </c>
      <c r="N49" s="76">
        <f t="shared" si="38"/>
        <v>92968.26</v>
      </c>
      <c r="O49" s="77">
        <f t="shared" si="38"/>
        <v>0</v>
      </c>
      <c r="P49" s="76">
        <f t="shared" si="38"/>
        <v>371218.12</v>
      </c>
      <c r="Q49" s="76">
        <f t="shared" si="38"/>
        <v>371218.12</v>
      </c>
      <c r="R49" s="77">
        <f t="shared" si="38"/>
        <v>0</v>
      </c>
      <c r="S49" s="104">
        <f t="shared" si="38"/>
        <v>327208.24</v>
      </c>
      <c r="T49" s="96"/>
      <c r="U49" s="200">
        <f t="shared" si="37"/>
        <v>4033173.91</v>
      </c>
      <c r="V49" s="200">
        <f t="shared" si="3"/>
        <v>3705965.67</v>
      </c>
      <c r="W49" s="323">
        <f t="shared" si="27"/>
        <v>8.1129216666979767E-2</v>
      </c>
      <c r="X49" s="80">
        <f>V49-Z48</f>
        <v>3241779.29</v>
      </c>
      <c r="Y49" s="323">
        <f>S49/(D49+G49+J49)</f>
        <v>9.1680970373129875E-2</v>
      </c>
    </row>
    <row r="50" spans="1:26" x14ac:dyDescent="0.25">
      <c r="A50" s="33" t="s">
        <v>53</v>
      </c>
      <c r="B50" s="745" t="s">
        <v>54</v>
      </c>
      <c r="C50" s="74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152">
        <f t="shared" si="37"/>
        <v>0</v>
      </c>
      <c r="V50" s="152">
        <f t="shared" si="3"/>
        <v>0</v>
      </c>
      <c r="W50" s="46"/>
      <c r="X50" s="46"/>
      <c r="Y50" s="46"/>
    </row>
    <row r="51" spans="1:26" ht="33.75" customHeight="1" x14ac:dyDescent="0.25">
      <c r="A51" s="33"/>
      <c r="B51" s="726" t="s">
        <v>73</v>
      </c>
      <c r="C51" s="727"/>
      <c r="D51" s="290">
        <v>600000</v>
      </c>
      <c r="E51" s="92"/>
      <c r="F51" s="92"/>
      <c r="G51" s="92"/>
      <c r="H51" s="92"/>
      <c r="I51" s="92"/>
      <c r="J51" s="92"/>
      <c r="K51" s="92"/>
      <c r="L51" s="92"/>
      <c r="M51" s="92">
        <v>1863641.36</v>
      </c>
      <c r="N51" s="92">
        <v>1863641.36</v>
      </c>
      <c r="O51" s="92">
        <f>M51-N51</f>
        <v>0</v>
      </c>
      <c r="P51" s="92">
        <f>1200000+4612266.96</f>
        <v>5812266.96</v>
      </c>
      <c r="Q51" s="92">
        <f>1200000+4612266.96</f>
        <v>5812266.96</v>
      </c>
      <c r="R51" s="92">
        <f t="shared" ref="R51:R52" si="39">P51-Q51</f>
        <v>0</v>
      </c>
      <c r="S51" s="92">
        <f t="shared" ref="S51:S52" si="40">F51+I51+L51+O51+R51</f>
        <v>0</v>
      </c>
      <c r="T51" s="92"/>
      <c r="U51" s="215">
        <f t="shared" si="37"/>
        <v>8275908.3200000003</v>
      </c>
      <c r="V51" s="215">
        <f t="shared" si="3"/>
        <v>7675908.3200000003</v>
      </c>
      <c r="W51" s="46"/>
      <c r="X51" s="46"/>
      <c r="Y51" s="46"/>
      <c r="Z51" s="218">
        <f>M51+P51</f>
        <v>7675908.3200000003</v>
      </c>
    </row>
    <row r="52" spans="1:26" ht="36" customHeight="1" thickBot="1" x14ac:dyDescent="0.3">
      <c r="A52" s="33"/>
      <c r="B52" s="724" t="s">
        <v>74</v>
      </c>
      <c r="C52" s="725"/>
      <c r="D52" s="75">
        <v>11354345.4</v>
      </c>
      <c r="E52" s="75">
        <v>11354345.4</v>
      </c>
      <c r="F52" s="75">
        <f t="shared" ref="F52" si="41">D52-E52</f>
        <v>0</v>
      </c>
      <c r="G52" s="75"/>
      <c r="H52" s="75"/>
      <c r="I52" s="75">
        <f t="shared" ref="I52" si="42">G52-H52</f>
        <v>0</v>
      </c>
      <c r="J52" s="75"/>
      <c r="K52" s="75"/>
      <c r="L52" s="75"/>
      <c r="M52" s="75"/>
      <c r="N52" s="75"/>
      <c r="O52" s="75"/>
      <c r="P52" s="75"/>
      <c r="Q52" s="75"/>
      <c r="R52" s="75">
        <f t="shared" si="39"/>
        <v>0</v>
      </c>
      <c r="S52" s="75">
        <f t="shared" si="40"/>
        <v>0</v>
      </c>
      <c r="T52" s="75"/>
      <c r="U52" s="215">
        <f t="shared" si="37"/>
        <v>11354345.4</v>
      </c>
      <c r="V52" s="215">
        <f t="shared" si="3"/>
        <v>11354345.4</v>
      </c>
      <c r="W52" s="46"/>
      <c r="X52" s="46"/>
      <c r="Y52" s="46"/>
    </row>
    <row r="53" spans="1:26" ht="15.75" thickBot="1" x14ac:dyDescent="0.3">
      <c r="A53" s="66"/>
      <c r="B53" s="94" t="s">
        <v>23</v>
      </c>
      <c r="C53" s="64"/>
      <c r="D53" s="76">
        <f>SUM(D50:D52)</f>
        <v>11954345.4</v>
      </c>
      <c r="E53" s="76">
        <f t="shared" ref="E53:R53" si="43">SUM(E50:E52)</f>
        <v>11354345.4</v>
      </c>
      <c r="F53" s="77">
        <f t="shared" si="43"/>
        <v>0</v>
      </c>
      <c r="G53" s="76">
        <f t="shared" si="43"/>
        <v>0</v>
      </c>
      <c r="H53" s="76">
        <f t="shared" si="43"/>
        <v>0</v>
      </c>
      <c r="I53" s="77">
        <f t="shared" si="43"/>
        <v>0</v>
      </c>
      <c r="J53" s="76">
        <f t="shared" si="43"/>
        <v>0</v>
      </c>
      <c r="K53" s="76">
        <f t="shared" si="43"/>
        <v>0</v>
      </c>
      <c r="L53" s="77">
        <f t="shared" si="43"/>
        <v>0</v>
      </c>
      <c r="M53" s="76">
        <f t="shared" si="43"/>
        <v>1863641.36</v>
      </c>
      <c r="N53" s="76">
        <f t="shared" si="43"/>
        <v>1863641.36</v>
      </c>
      <c r="O53" s="77">
        <f t="shared" si="43"/>
        <v>0</v>
      </c>
      <c r="P53" s="76">
        <f t="shared" si="43"/>
        <v>5812266.96</v>
      </c>
      <c r="Q53" s="76">
        <f t="shared" si="43"/>
        <v>5812266.96</v>
      </c>
      <c r="R53" s="77">
        <f t="shared" si="43"/>
        <v>0</v>
      </c>
      <c r="S53" s="77">
        <f>SUM(S50:S52)</f>
        <v>0</v>
      </c>
      <c r="T53" s="96"/>
      <c r="U53" s="200">
        <f t="shared" si="37"/>
        <v>19630253.719999999</v>
      </c>
      <c r="V53" s="200">
        <f t="shared" si="3"/>
        <v>19030253.719999999</v>
      </c>
      <c r="W53" s="323">
        <f>S53/(D53+G53+J53+M53+P53)</f>
        <v>0</v>
      </c>
      <c r="X53" s="80">
        <f>E53+H53+K53</f>
        <v>11354345.4</v>
      </c>
      <c r="Y53" s="323">
        <f>S53/(D53+G53+J53+M53)</f>
        <v>0</v>
      </c>
      <c r="Z53" s="2">
        <f>N53+Q53</f>
        <v>7675908.3200000003</v>
      </c>
    </row>
    <row r="54" spans="1:26" x14ac:dyDescent="0.25">
      <c r="A54" s="33" t="s">
        <v>55</v>
      </c>
      <c r="B54" s="745" t="s">
        <v>56</v>
      </c>
      <c r="C54" s="746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152">
        <f t="shared" si="37"/>
        <v>0</v>
      </c>
      <c r="V54" s="152">
        <f t="shared" si="3"/>
        <v>0</v>
      </c>
      <c r="W54" s="46"/>
      <c r="X54" s="80">
        <f>V53-Z53</f>
        <v>11354345.399999999</v>
      </c>
      <c r="Y54" s="46"/>
    </row>
    <row r="55" spans="1:26" ht="30.75" customHeight="1" thickBot="1" x14ac:dyDescent="0.3">
      <c r="A55" s="33"/>
      <c r="B55" s="726" t="s">
        <v>73</v>
      </c>
      <c r="C55" s="727"/>
      <c r="D55" s="92">
        <v>984149</v>
      </c>
      <c r="E55" s="92">
        <v>930020.8</v>
      </c>
      <c r="F55" s="92">
        <f>D55-E55</f>
        <v>54128.199999999953</v>
      </c>
      <c r="G55" s="92"/>
      <c r="H55" s="92"/>
      <c r="I55" s="75">
        <f t="shared" ref="I55:I56" si="44">G55-H55</f>
        <v>0</v>
      </c>
      <c r="J55" s="92">
        <v>4301450.67</v>
      </c>
      <c r="K55" s="92">
        <v>3700000</v>
      </c>
      <c r="L55" s="92">
        <f>J55-K55</f>
        <v>601450.66999999993</v>
      </c>
      <c r="M55" s="92">
        <v>73000</v>
      </c>
      <c r="N55" s="92">
        <v>73000</v>
      </c>
      <c r="O55" s="92">
        <f>M55-N55</f>
        <v>0</v>
      </c>
      <c r="P55" s="92">
        <v>390000</v>
      </c>
      <c r="Q55" s="92">
        <v>390000</v>
      </c>
      <c r="R55" s="92">
        <f t="shared" ref="R55:R56" si="45">P55-Q55</f>
        <v>0</v>
      </c>
      <c r="S55" s="92">
        <f t="shared" ref="S55:S56" si="46">F55+I55+L55+O55+R55</f>
        <v>655578.86999999988</v>
      </c>
      <c r="T55" s="92"/>
      <c r="U55" s="215">
        <f t="shared" si="37"/>
        <v>5748599.6699999999</v>
      </c>
      <c r="V55" s="215">
        <f t="shared" si="3"/>
        <v>5093020.8</v>
      </c>
      <c r="W55" s="46"/>
      <c r="X55" s="46"/>
      <c r="Y55" s="46"/>
    </row>
    <row r="56" spans="1:26" ht="33.75" customHeight="1" thickBot="1" x14ac:dyDescent="0.3">
      <c r="A56" s="33"/>
      <c r="B56" s="724" t="s">
        <v>74</v>
      </c>
      <c r="C56" s="725"/>
      <c r="D56" s="75">
        <v>3067985.37</v>
      </c>
      <c r="E56" s="75">
        <v>2882510.54</v>
      </c>
      <c r="F56" s="92">
        <f>D56-E56</f>
        <v>185474.83000000007</v>
      </c>
      <c r="G56" s="75"/>
      <c r="H56" s="75"/>
      <c r="I56" s="75">
        <f t="shared" si="44"/>
        <v>0</v>
      </c>
      <c r="J56" s="75"/>
      <c r="K56" s="75"/>
      <c r="L56" s="75"/>
      <c r="M56" s="75"/>
      <c r="N56" s="75"/>
      <c r="O56" s="75"/>
      <c r="P56" s="75"/>
      <c r="Q56" s="75"/>
      <c r="R56" s="75">
        <f t="shared" si="45"/>
        <v>0</v>
      </c>
      <c r="S56" s="75">
        <f t="shared" si="46"/>
        <v>185474.83000000007</v>
      </c>
      <c r="T56" s="75"/>
      <c r="U56" s="215">
        <f t="shared" si="37"/>
        <v>3067985.37</v>
      </c>
      <c r="V56" s="215">
        <f t="shared" si="3"/>
        <v>2882510.54</v>
      </c>
      <c r="W56" s="46"/>
      <c r="X56" s="46"/>
      <c r="Y56" s="46"/>
    </row>
    <row r="57" spans="1:26" ht="15.75" thickBot="1" x14ac:dyDescent="0.3">
      <c r="A57" s="66"/>
      <c r="B57" s="64" t="s">
        <v>23</v>
      </c>
      <c r="C57" s="64"/>
      <c r="D57" s="76">
        <f>SUM(D54:D56)</f>
        <v>4052134.37</v>
      </c>
      <c r="E57" s="76">
        <f t="shared" ref="E57:N57" si="47">SUM(E54:E56)</f>
        <v>3812531.34</v>
      </c>
      <c r="F57" s="77">
        <f t="shared" si="47"/>
        <v>239603.03000000003</v>
      </c>
      <c r="G57" s="76">
        <f t="shared" si="47"/>
        <v>0</v>
      </c>
      <c r="H57" s="76">
        <f t="shared" si="47"/>
        <v>0</v>
      </c>
      <c r="I57" s="77">
        <f t="shared" si="47"/>
        <v>0</v>
      </c>
      <c r="J57" s="76">
        <f t="shared" si="47"/>
        <v>4301450.67</v>
      </c>
      <c r="K57" s="76">
        <f t="shared" si="47"/>
        <v>3700000</v>
      </c>
      <c r="L57" s="77">
        <f t="shared" si="47"/>
        <v>601450.66999999993</v>
      </c>
      <c r="M57" s="76">
        <f t="shared" si="47"/>
        <v>73000</v>
      </c>
      <c r="N57" s="76">
        <f t="shared" si="47"/>
        <v>73000</v>
      </c>
      <c r="O57" s="77">
        <f>SUM(O54:O56)</f>
        <v>0</v>
      </c>
      <c r="P57" s="76">
        <f t="shared" ref="P57:R57" si="48">SUM(P54:P56)</f>
        <v>390000</v>
      </c>
      <c r="Q57" s="76">
        <f t="shared" si="48"/>
        <v>390000</v>
      </c>
      <c r="R57" s="77">
        <f t="shared" si="48"/>
        <v>0</v>
      </c>
      <c r="S57" s="104">
        <f>SUM(S54:S56)</f>
        <v>841053.7</v>
      </c>
      <c r="T57" s="97"/>
      <c r="U57" s="200">
        <f t="shared" si="37"/>
        <v>8816585.0399999991</v>
      </c>
      <c r="V57" s="200">
        <f t="shared" si="3"/>
        <v>7975531.3399999999</v>
      </c>
      <c r="W57" s="332">
        <f>S57/(D57+G57+J57+M57+P57)</f>
        <v>9.5394497550266924E-2</v>
      </c>
      <c r="X57" s="80">
        <f>E57+H57+K57</f>
        <v>7512531.3399999999</v>
      </c>
      <c r="Y57" s="323">
        <f>S57/(D57+G57+J57)</f>
        <v>0.10068176668732398</v>
      </c>
      <c r="Z57" s="2">
        <f>N57+Q57</f>
        <v>463000</v>
      </c>
    </row>
    <row r="58" spans="1:26" x14ac:dyDescent="0.25">
      <c r="A58" s="33" t="s">
        <v>57</v>
      </c>
      <c r="B58" s="745" t="s">
        <v>58</v>
      </c>
      <c r="C58" s="74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152">
        <f t="shared" si="37"/>
        <v>0</v>
      </c>
      <c r="V58" s="152">
        <f t="shared" si="3"/>
        <v>0</v>
      </c>
      <c r="W58" s="46"/>
      <c r="X58" s="80">
        <f>V57-Z57</f>
        <v>7512531.3399999999</v>
      </c>
      <c r="Y58" s="46"/>
    </row>
    <row r="59" spans="1:26" ht="33" customHeight="1" x14ac:dyDescent="0.25">
      <c r="A59" s="33"/>
      <c r="B59" s="726" t="s">
        <v>73</v>
      </c>
      <c r="C59" s="727"/>
      <c r="D59" s="289">
        <v>109458294.98</v>
      </c>
      <c r="E59" s="92">
        <v>101312316.73999999</v>
      </c>
      <c r="F59" s="217">
        <v>3133370.64</v>
      </c>
      <c r="G59" s="92">
        <v>1195998.69</v>
      </c>
      <c r="H59" s="92">
        <v>1009000</v>
      </c>
      <c r="I59" s="92">
        <f t="shared" ref="I59:I60" si="49">G59-H59</f>
        <v>186998.68999999994</v>
      </c>
      <c r="J59" s="92"/>
      <c r="K59" s="92"/>
      <c r="L59" s="92">
        <f>J59-K59</f>
        <v>0</v>
      </c>
      <c r="M59" s="92">
        <v>1675176.15</v>
      </c>
      <c r="N59" s="92">
        <v>1675176.15</v>
      </c>
      <c r="O59" s="92">
        <f>M59-N59</f>
        <v>0</v>
      </c>
      <c r="P59" s="92">
        <v>3186848.63</v>
      </c>
      <c r="Q59" s="92">
        <v>3186848.63</v>
      </c>
      <c r="R59" s="92">
        <f t="shared" ref="R59:R60" si="50">P59-Q59</f>
        <v>0</v>
      </c>
      <c r="S59" s="92">
        <f>F59+I59+L59+O59+R59</f>
        <v>3320369.33</v>
      </c>
      <c r="T59" s="92"/>
      <c r="U59" s="215">
        <f t="shared" si="37"/>
        <v>115516318.45</v>
      </c>
      <c r="V59" s="215">
        <f t="shared" si="3"/>
        <v>107183341.52</v>
      </c>
      <c r="W59" s="46"/>
      <c r="X59" s="46"/>
      <c r="Y59" s="46"/>
      <c r="Z59" s="218"/>
    </row>
    <row r="60" spans="1:26" ht="34.5" customHeight="1" thickBot="1" x14ac:dyDescent="0.3">
      <c r="A60" s="33"/>
      <c r="B60" s="724" t="s">
        <v>74</v>
      </c>
      <c r="C60" s="725"/>
      <c r="D60" s="75">
        <v>29730565.600000001</v>
      </c>
      <c r="E60" s="75">
        <v>29721310.079999998</v>
      </c>
      <c r="F60" s="75">
        <f t="shared" ref="F60" si="51">D60-E60</f>
        <v>9255.5200000032783</v>
      </c>
      <c r="G60" s="75"/>
      <c r="H60" s="75"/>
      <c r="I60" s="75">
        <f t="shared" si="49"/>
        <v>0</v>
      </c>
      <c r="J60" s="75"/>
      <c r="K60" s="75"/>
      <c r="L60" s="75"/>
      <c r="M60" s="75"/>
      <c r="N60" s="75"/>
      <c r="O60" s="75"/>
      <c r="P60" s="75"/>
      <c r="Q60" s="75"/>
      <c r="R60" s="75">
        <f t="shared" si="50"/>
        <v>0</v>
      </c>
      <c r="S60" s="75">
        <f t="shared" ref="S60" si="52">F60+I60+L60+O60+R60</f>
        <v>9255.5200000032783</v>
      </c>
      <c r="T60" s="75"/>
      <c r="U60" s="215">
        <f t="shared" si="37"/>
        <v>29730565.600000001</v>
      </c>
      <c r="V60" s="215">
        <f t="shared" si="3"/>
        <v>29721310.079999998</v>
      </c>
      <c r="W60" s="202"/>
      <c r="X60" s="80">
        <f>E61+H61+K61</f>
        <v>132042626.81999999</v>
      </c>
      <c r="Y60" s="46"/>
    </row>
    <row r="61" spans="1:26" ht="15.75" thickBot="1" x14ac:dyDescent="0.3">
      <c r="A61" s="66"/>
      <c r="B61" s="94" t="s">
        <v>23</v>
      </c>
      <c r="C61" s="64"/>
      <c r="D61" s="76">
        <f>SUM(D58:D60)</f>
        <v>139188860.58000001</v>
      </c>
      <c r="E61" s="76">
        <f t="shared" ref="E61:R61" si="53">SUM(E58:E60)</f>
        <v>131033626.81999999</v>
      </c>
      <c r="F61" s="104">
        <f t="shared" si="53"/>
        <v>3142626.1600000034</v>
      </c>
      <c r="G61" s="76">
        <f t="shared" si="53"/>
        <v>1195998.69</v>
      </c>
      <c r="H61" s="76">
        <f t="shared" si="53"/>
        <v>1009000</v>
      </c>
      <c r="I61" s="77">
        <f t="shared" si="53"/>
        <v>186998.68999999994</v>
      </c>
      <c r="J61" s="76">
        <f t="shared" si="53"/>
        <v>0</v>
      </c>
      <c r="K61" s="76">
        <f t="shared" si="53"/>
        <v>0</v>
      </c>
      <c r="L61" s="77">
        <f t="shared" si="53"/>
        <v>0</v>
      </c>
      <c r="M61" s="76">
        <f t="shared" si="53"/>
        <v>1675176.15</v>
      </c>
      <c r="N61" s="76">
        <f t="shared" si="53"/>
        <v>1675176.15</v>
      </c>
      <c r="O61" s="77">
        <f t="shared" si="53"/>
        <v>0</v>
      </c>
      <c r="P61" s="76">
        <f t="shared" si="53"/>
        <v>3186848.63</v>
      </c>
      <c r="Q61" s="76">
        <f t="shared" si="53"/>
        <v>3186848.63</v>
      </c>
      <c r="R61" s="77">
        <f t="shared" si="53"/>
        <v>0</v>
      </c>
      <c r="S61" s="104">
        <f>SUM(S58:S60)</f>
        <v>3329624.8500000034</v>
      </c>
      <c r="T61" s="96"/>
      <c r="U61" s="200">
        <f>D61+G61+J61+M61+P61</f>
        <v>145246884.05000001</v>
      </c>
      <c r="V61" s="200">
        <f t="shared" si="3"/>
        <v>136904651.59999999</v>
      </c>
      <c r="W61" s="323">
        <f t="shared" si="27"/>
        <v>2.2923898655573281E-2</v>
      </c>
      <c r="X61" s="80">
        <f>V61-Z61</f>
        <v>132042626.81999999</v>
      </c>
      <c r="Y61" s="323">
        <f>S61/(D61+G61+J61)</f>
        <v>2.3717834439654122E-2</v>
      </c>
      <c r="Z61" s="2">
        <f>N61+Q61</f>
        <v>4862024.7799999993</v>
      </c>
    </row>
    <row r="62" spans="1:26" x14ac:dyDescent="0.25">
      <c r="A62" s="33" t="s">
        <v>60</v>
      </c>
      <c r="B62" s="745" t="s">
        <v>59</v>
      </c>
      <c r="C62" s="74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152">
        <f>D62+G62+J62+M62+P62</f>
        <v>0</v>
      </c>
      <c r="V62" s="152">
        <f t="shared" si="3"/>
        <v>0</v>
      </c>
      <c r="W62" s="80">
        <f>U61-V61</f>
        <v>8342232.4500000179</v>
      </c>
      <c r="X62" s="46"/>
      <c r="Y62" s="46"/>
    </row>
    <row r="63" spans="1:26" ht="33.75" customHeight="1" x14ac:dyDescent="0.25">
      <c r="A63" s="33"/>
      <c r="B63" s="726" t="s">
        <v>73</v>
      </c>
      <c r="C63" s="727"/>
      <c r="D63" s="92">
        <v>14607602.08</v>
      </c>
      <c r="E63" s="92">
        <v>9954621.5500000007</v>
      </c>
      <c r="F63" s="92">
        <f>D63-E63</f>
        <v>4652980.5299999993</v>
      </c>
      <c r="G63" s="92"/>
      <c r="H63" s="92"/>
      <c r="I63" s="92">
        <f t="shared" ref="I63:I64" si="54">G63-H63</f>
        <v>0</v>
      </c>
      <c r="J63" s="92">
        <v>1114642.92</v>
      </c>
      <c r="K63" s="92">
        <v>815104.63</v>
      </c>
      <c r="L63" s="92">
        <f>J63-K63</f>
        <v>299538.28999999992</v>
      </c>
      <c r="M63" s="92">
        <v>392691.6</v>
      </c>
      <c r="N63" s="92">
        <v>381691.6</v>
      </c>
      <c r="O63" s="92">
        <f>M63-N63</f>
        <v>11000</v>
      </c>
      <c r="P63" s="92">
        <v>1141025.79</v>
      </c>
      <c r="Q63" s="92">
        <v>1141025.79</v>
      </c>
      <c r="R63" s="92">
        <f t="shared" ref="R63:R64" si="55">P63-Q63</f>
        <v>0</v>
      </c>
      <c r="S63" s="92">
        <f>F63+I63+L63+O63+R63</f>
        <v>4963518.8199999994</v>
      </c>
      <c r="T63" s="92"/>
      <c r="U63" s="215">
        <f t="shared" si="37"/>
        <v>17255962.390000001</v>
      </c>
      <c r="V63" s="215">
        <f t="shared" si="3"/>
        <v>12292443.57</v>
      </c>
      <c r="W63" s="46"/>
      <c r="X63" s="46"/>
      <c r="Y63" s="46"/>
    </row>
    <row r="64" spans="1:26" ht="32.25" customHeight="1" thickBot="1" x14ac:dyDescent="0.3">
      <c r="A64" s="33"/>
      <c r="B64" s="724" t="s">
        <v>74</v>
      </c>
      <c r="C64" s="725"/>
      <c r="D64" s="75">
        <v>16501216.52</v>
      </c>
      <c r="E64" s="75">
        <v>16343243.58</v>
      </c>
      <c r="F64" s="75">
        <f>D64-E64</f>
        <v>157972.93999999948</v>
      </c>
      <c r="G64" s="75"/>
      <c r="H64" s="75"/>
      <c r="I64" s="75">
        <f t="shared" si="54"/>
        <v>0</v>
      </c>
      <c r="J64" s="75"/>
      <c r="K64" s="75"/>
      <c r="L64" s="75"/>
      <c r="M64" s="75"/>
      <c r="N64" s="75"/>
      <c r="O64" s="75"/>
      <c r="P64" s="75"/>
      <c r="Q64" s="75"/>
      <c r="R64" s="75">
        <f t="shared" si="55"/>
        <v>0</v>
      </c>
      <c r="S64" s="75">
        <f t="shared" ref="S64" si="56">F64+I64+L64+O64+R64</f>
        <v>157972.93999999948</v>
      </c>
      <c r="T64" s="75"/>
      <c r="U64" s="215">
        <f t="shared" si="37"/>
        <v>16501216.52</v>
      </c>
      <c r="V64" s="215">
        <f t="shared" si="3"/>
        <v>16343243.58</v>
      </c>
      <c r="W64" s="46"/>
      <c r="X64" s="46"/>
      <c r="Y64" s="46"/>
    </row>
    <row r="65" spans="1:26" ht="15.75" thickBot="1" x14ac:dyDescent="0.3">
      <c r="A65" s="66"/>
      <c r="B65" s="94" t="s">
        <v>23</v>
      </c>
      <c r="C65" s="64"/>
      <c r="D65" s="76">
        <f>SUM(D62:D64)</f>
        <v>31108818.600000001</v>
      </c>
      <c r="E65" s="76">
        <f>SUM(E62:E64)</f>
        <v>26297865.130000003</v>
      </c>
      <c r="F65" s="77">
        <f>SUM(F62:F64)</f>
        <v>4810953.4699999988</v>
      </c>
      <c r="G65" s="76">
        <f t="shared" ref="G65:R65" si="57">SUM(G62:G64)</f>
        <v>0</v>
      </c>
      <c r="H65" s="76">
        <f t="shared" si="57"/>
        <v>0</v>
      </c>
      <c r="I65" s="77">
        <f t="shared" si="57"/>
        <v>0</v>
      </c>
      <c r="J65" s="76">
        <f t="shared" si="57"/>
        <v>1114642.92</v>
      </c>
      <c r="K65" s="76">
        <f t="shared" si="57"/>
        <v>815104.63</v>
      </c>
      <c r="L65" s="77">
        <f t="shared" si="57"/>
        <v>299538.28999999992</v>
      </c>
      <c r="M65" s="76">
        <f t="shared" si="57"/>
        <v>392691.6</v>
      </c>
      <c r="N65" s="76">
        <f t="shared" si="57"/>
        <v>381691.6</v>
      </c>
      <c r="O65" s="77">
        <f t="shared" si="57"/>
        <v>11000</v>
      </c>
      <c r="P65" s="76">
        <f t="shared" si="57"/>
        <v>1141025.79</v>
      </c>
      <c r="Q65" s="76">
        <f t="shared" si="57"/>
        <v>1141025.79</v>
      </c>
      <c r="R65" s="77">
        <f t="shared" si="57"/>
        <v>0</v>
      </c>
      <c r="S65" s="104">
        <f>SUM(S62:S64)</f>
        <v>5121491.7599999988</v>
      </c>
      <c r="T65" s="96"/>
      <c r="U65" s="200">
        <f t="shared" si="37"/>
        <v>33757178.910000004</v>
      </c>
      <c r="V65" s="200">
        <f t="shared" si="3"/>
        <v>28635687.150000002</v>
      </c>
      <c r="W65" s="323">
        <f t="shared" si="27"/>
        <v>0.15171563280374836</v>
      </c>
      <c r="X65" s="202">
        <f>E65+H65+K65</f>
        <v>27112969.760000002</v>
      </c>
      <c r="Y65" s="323">
        <f>S65/(D65+G65+J65)</f>
        <v>0.15893673486385887</v>
      </c>
      <c r="Z65" s="2">
        <f>N65+Q65</f>
        <v>1522717.3900000001</v>
      </c>
    </row>
    <row r="66" spans="1:26" x14ac:dyDescent="0.25">
      <c r="A66" s="33" t="s">
        <v>61</v>
      </c>
      <c r="B66" s="745" t="s">
        <v>62</v>
      </c>
      <c r="C66" s="746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152">
        <f t="shared" si="37"/>
        <v>0</v>
      </c>
      <c r="V66" s="152">
        <f t="shared" si="3"/>
        <v>0</v>
      </c>
      <c r="W66" s="46"/>
      <c r="X66" s="202">
        <f>V65-Z65</f>
        <v>27112969.760000002</v>
      </c>
      <c r="Y66" s="46"/>
    </row>
    <row r="67" spans="1:26" ht="32.25" customHeight="1" x14ac:dyDescent="0.25">
      <c r="A67" s="33"/>
      <c r="B67" s="726" t="s">
        <v>73</v>
      </c>
      <c r="C67" s="727"/>
      <c r="D67" s="289">
        <v>37122776.950000003</v>
      </c>
      <c r="E67" s="92">
        <v>25983679.940000001</v>
      </c>
      <c r="F67" s="92">
        <v>9402596.2100000009</v>
      </c>
      <c r="G67" s="92"/>
      <c r="H67" s="92"/>
      <c r="I67" s="92">
        <f>G67-H67</f>
        <v>0</v>
      </c>
      <c r="J67" s="92"/>
      <c r="K67" s="92"/>
      <c r="L67" s="92"/>
      <c r="M67" s="217">
        <v>1534040.9</v>
      </c>
      <c r="N67" s="217">
        <v>1534040.9</v>
      </c>
      <c r="O67" s="92">
        <f>M67-N67</f>
        <v>0</v>
      </c>
      <c r="P67" s="217">
        <v>5761110.5999999996</v>
      </c>
      <c r="Q67" s="92">
        <v>5761110.5999999996</v>
      </c>
      <c r="R67" s="92">
        <f>P67-Q67</f>
        <v>0</v>
      </c>
      <c r="S67" s="92"/>
      <c r="T67" s="92"/>
      <c r="U67" s="215">
        <f t="shared" si="37"/>
        <v>44417928.450000003</v>
      </c>
      <c r="V67" s="215">
        <f t="shared" si="3"/>
        <v>33278831.439999998</v>
      </c>
      <c r="W67" s="46"/>
      <c r="X67" s="46"/>
      <c r="Y67" s="46"/>
    </row>
    <row r="68" spans="1:26" ht="34.5" customHeight="1" thickBot="1" x14ac:dyDescent="0.3">
      <c r="A68" s="33"/>
      <c r="B68" s="724" t="s">
        <v>74</v>
      </c>
      <c r="C68" s="725"/>
      <c r="D68" s="75">
        <v>161711879.27000001</v>
      </c>
      <c r="E68" s="75">
        <v>161672711.88</v>
      </c>
      <c r="F68" s="75">
        <f>D68-E68</f>
        <v>39167.390000015497</v>
      </c>
      <c r="G68" s="75"/>
      <c r="H68" s="75"/>
      <c r="I68" s="92">
        <f>G68-H68</f>
        <v>0</v>
      </c>
      <c r="J68" s="75"/>
      <c r="K68" s="75"/>
      <c r="L68" s="75"/>
      <c r="M68" s="75"/>
      <c r="N68" s="75"/>
      <c r="O68" s="75"/>
      <c r="P68" s="75"/>
      <c r="Q68" s="75"/>
      <c r="R68" s="75">
        <v>0</v>
      </c>
      <c r="S68" s="75"/>
      <c r="T68" s="75"/>
      <c r="U68" s="215">
        <f>D68+G68+J68+M68+P68</f>
        <v>161711879.27000001</v>
      </c>
      <c r="V68" s="215">
        <f t="shared" si="3"/>
        <v>161672711.88</v>
      </c>
      <c r="W68" s="46"/>
      <c r="X68" s="202">
        <f>V69-Z69</f>
        <v>187656391.81999999</v>
      </c>
      <c r="Y68" s="46"/>
    </row>
    <row r="69" spans="1:26" ht="15.75" thickBot="1" x14ac:dyDescent="0.3">
      <c r="A69" s="139"/>
      <c r="B69" s="140" t="s">
        <v>23</v>
      </c>
      <c r="C69" s="140"/>
      <c r="D69" s="141">
        <f>SUM(D66:D68)</f>
        <v>198834656.22000003</v>
      </c>
      <c r="E69" s="141">
        <f>SUM(E66:E68)</f>
        <v>187656391.81999999</v>
      </c>
      <c r="F69" s="142">
        <f>F67+F68</f>
        <v>9441763.6000000164</v>
      </c>
      <c r="G69" s="141">
        <f>SUM(G66:G68)</f>
        <v>0</v>
      </c>
      <c r="H69" s="141">
        <f>SUM(H66:H68)</f>
        <v>0</v>
      </c>
      <c r="I69" s="142">
        <f t="shared" si="6"/>
        <v>0</v>
      </c>
      <c r="J69" s="141"/>
      <c r="K69" s="141"/>
      <c r="L69" s="142">
        <v>0</v>
      </c>
      <c r="M69" s="141">
        <f>M67</f>
        <v>1534040.9</v>
      </c>
      <c r="N69" s="141">
        <f>N67</f>
        <v>1534040.9</v>
      </c>
      <c r="O69" s="142">
        <v>0</v>
      </c>
      <c r="P69" s="141">
        <f>SUM(P66:P68)</f>
        <v>5761110.5999999996</v>
      </c>
      <c r="Q69" s="141">
        <f>SUM(Q66:Q68)</f>
        <v>5761110.5999999996</v>
      </c>
      <c r="R69" s="142">
        <f t="shared" si="0"/>
        <v>0</v>
      </c>
      <c r="S69" s="143">
        <f>F69+I69+L69+O69+R69</f>
        <v>9441763.6000000164</v>
      </c>
      <c r="T69" s="144"/>
      <c r="U69" s="200">
        <f t="shared" si="37"/>
        <v>206129807.72000003</v>
      </c>
      <c r="V69" s="200">
        <f t="shared" si="3"/>
        <v>194951543.31999999</v>
      </c>
      <c r="W69" s="323">
        <f>S69/(D69+G69+J69+M69+P69)</f>
        <v>4.5804940607257531E-2</v>
      </c>
      <c r="X69" s="202">
        <f>E69+H69+K69</f>
        <v>187656391.81999999</v>
      </c>
      <c r="Y69" s="323">
        <f>S69/(D69+G69+J69)</f>
        <v>4.7485502675917848E-2</v>
      </c>
      <c r="Z69" s="80">
        <f>N69+Q69</f>
        <v>7295151.5</v>
      </c>
    </row>
    <row r="70" spans="1:26" ht="16.5" thickBot="1" x14ac:dyDescent="0.3">
      <c r="A70" s="145"/>
      <c r="B70" s="146" t="s">
        <v>63</v>
      </c>
      <c r="C70" s="147"/>
      <c r="D70" s="141">
        <f>D17+D21+D25+D29+D33+D37+D41+D45+D49+D53+D57+D61+D65+D69</f>
        <v>659006226.95000005</v>
      </c>
      <c r="E70" s="141">
        <f>E17+E21+E25+E29+E33+E37+E41+E45+E49+E53+E57+E61+E65+E69</f>
        <v>626733549.1099999</v>
      </c>
      <c r="F70" s="142">
        <f>F17+F21+F25+F29+F33+F37+F41+F45+F49+F53+F57+F61+F65+F69</f>
        <v>24923569.440000013</v>
      </c>
      <c r="G70" s="141">
        <f>G17+G21+G25+G29+G33+G37+G41+G45+G49+G53+G57+G61+G65+G69</f>
        <v>5363249.4399999995</v>
      </c>
      <c r="H70" s="141">
        <f t="shared" ref="H70:R70" si="58">H17+H21+H25+H29+H33+H37+H41+H45+H49+H53+H57+H61+H65+H69</f>
        <v>4734198</v>
      </c>
      <c r="I70" s="142">
        <f>I17+I21+I25+I29+I33+I37+I41+I45+I49+I53+I57+I61+I65+I69</f>
        <v>629051.43999999994</v>
      </c>
      <c r="J70" s="141">
        <f>J17+J21+J25+J29+J33+J37+J41+J45+J49+J53+J57+J61+J65+J69</f>
        <v>14447028.23</v>
      </c>
      <c r="K70" s="141">
        <f t="shared" si="58"/>
        <v>9729637.6300000008</v>
      </c>
      <c r="L70" s="142">
        <f t="shared" si="58"/>
        <v>1217989.2899999998</v>
      </c>
      <c r="M70" s="141">
        <f>M17+M21+M25+M29+M33+M37+M41+M45+M49+M53+M57+M61+M65+M69</f>
        <v>6132178.3900000006</v>
      </c>
      <c r="N70" s="141">
        <f>N17+N21+N25+N29+N33+N37+N41+N45+N49+N53+N57+N61+N65+N69</f>
        <v>6094238.8499999996</v>
      </c>
      <c r="O70" s="142">
        <f>O17+O21+O25+O29+O33+O37+O41+O45+O49+O53+O57+O61+O65+O69</f>
        <v>37939.539999999979</v>
      </c>
      <c r="P70" s="141">
        <f t="shared" si="58"/>
        <v>33379821</v>
      </c>
      <c r="Q70" s="141">
        <f>Q17+Q21+Q25+Q29+Q33+Q37+Q41+Q45+Q49+Q53+Q57+Q61+Q65+Q69</f>
        <v>33379821</v>
      </c>
      <c r="R70" s="142">
        <f t="shared" si="58"/>
        <v>0</v>
      </c>
      <c r="S70" s="143">
        <f>S17+S21+S25+S29+S33+S37+S41+S45+S49+S53+S57+S61+S65+S69</f>
        <v>26808549.710000016</v>
      </c>
      <c r="T70" s="144"/>
      <c r="U70" s="200">
        <f>D70+G70+J70+M70+P70</f>
        <v>718328504.01000011</v>
      </c>
      <c r="V70" s="200">
        <f>E70+H70+K70+N70+Q70</f>
        <v>680671444.58999991</v>
      </c>
      <c r="W70" s="333">
        <f>S70/(D70+G70+J70+M70+P70)</f>
        <v>3.732073774094144E-2</v>
      </c>
      <c r="X70" s="208"/>
      <c r="Y70" s="333">
        <f>S70/(D70+G70+J70)</f>
        <v>3.9493072910782245E-2</v>
      </c>
    </row>
    <row r="71" spans="1:26" x14ac:dyDescent="0.25">
      <c r="E71" s="80">
        <f>F71-F70</f>
        <v>7349108.4000001401</v>
      </c>
      <c r="F71" s="80">
        <f>D70-E70</f>
        <v>32272677.840000153</v>
      </c>
      <c r="H71" s="80">
        <f>I70-I71</f>
        <v>0</v>
      </c>
      <c r="I71" s="80">
        <f>G70-H70</f>
        <v>629051.43999999948</v>
      </c>
      <c r="K71" s="80">
        <f>L71-L70</f>
        <v>3499401.3099999996</v>
      </c>
      <c r="L71" s="203">
        <f>J70-K70</f>
        <v>4717390.5999999996</v>
      </c>
      <c r="O71" s="80">
        <f>M70-N70</f>
        <v>37939.540000000969</v>
      </c>
      <c r="S71" s="80">
        <f>F71+I71+L71+O71</f>
        <v>37657059.420000151</v>
      </c>
      <c r="W71" s="153" t="s">
        <v>79</v>
      </c>
      <c r="Y71" s="26" t="s">
        <v>81</v>
      </c>
    </row>
    <row r="72" spans="1:26" x14ac:dyDescent="0.25">
      <c r="D72" s="26"/>
      <c r="E72" s="26"/>
    </row>
    <row r="73" spans="1:26" x14ac:dyDescent="0.25">
      <c r="D73" s="26" t="s">
        <v>13</v>
      </c>
      <c r="E73" s="20"/>
      <c r="F73" s="198">
        <f>D70+G70+J70+M70+P70</f>
        <v>718328504.01000011</v>
      </c>
      <c r="J73" s="26" t="s">
        <v>16</v>
      </c>
      <c r="K73" s="26"/>
      <c r="L73" s="221">
        <f>F70+I70+L70+O70+R70</f>
        <v>26808549.710000012</v>
      </c>
      <c r="N73" s="205">
        <f>M70+P70</f>
        <v>39511999.390000001</v>
      </c>
      <c r="O73" s="283">
        <f>Q70+N70</f>
        <v>39474059.850000001</v>
      </c>
      <c r="P73" s="80">
        <f>N73-O73</f>
        <v>37939.539999999106</v>
      </c>
      <c r="S73" s="2">
        <f>S71-S70</f>
        <v>10848509.710000135</v>
      </c>
      <c r="U73" s="2">
        <f>U70-V70</f>
        <v>37657059.420000196</v>
      </c>
      <c r="V73" s="2"/>
    </row>
    <row r="74" spans="1:26" x14ac:dyDescent="0.25">
      <c r="D74" s="26" t="s">
        <v>12</v>
      </c>
      <c r="E74" s="26"/>
      <c r="F74" s="199">
        <f>E70+H70+K70+N70+Q70</f>
        <v>680671444.58999991</v>
      </c>
      <c r="G74" s="31" t="s">
        <v>64</v>
      </c>
      <c r="H74" s="83"/>
      <c r="M74" s="2"/>
      <c r="S74" s="80"/>
      <c r="U74" s="80"/>
    </row>
    <row r="75" spans="1:26" ht="15.75" thickBot="1" x14ac:dyDescent="0.3">
      <c r="D75" s="26" t="s">
        <v>15</v>
      </c>
      <c r="F75" s="198">
        <f>E15+E19+E23+E27+E31+E35+E39+E43+E47+E51+E55+E59+E63+E67+H15+H19+H23+H27+H31+H35+H39+H43+H47+H51+H55+H59+H63+H67+K15+K19+K23+K27+K31+K35+K39+K43+K47+K51+K55+K59+K63+K67</f>
        <v>206108065.42999998</v>
      </c>
      <c r="G75" s="31" t="s">
        <v>65</v>
      </c>
      <c r="H75" s="84"/>
      <c r="J75" s="154" t="s">
        <v>19</v>
      </c>
      <c r="K75" s="334"/>
      <c r="L75" s="323">
        <f>L73/F73</f>
        <v>3.7320737740941433E-2</v>
      </c>
      <c r="N75" s="209"/>
      <c r="S75" s="20">
        <f>U73-S73</f>
        <v>26808549.71000006</v>
      </c>
      <c r="U75" s="2"/>
      <c r="V75" s="2"/>
      <c r="X75" s="309">
        <f>X16+X21+X24+X29+X32+X37+X40+X45+X48+X53+X57+X60+X65+X69</f>
        <v>641197384.74000001</v>
      </c>
      <c r="Y75" s="309"/>
      <c r="Z75" s="309">
        <f>Z16+Z21+Z24+Z29+Z32+Z37+Z40+Z45+Z48+Z53+Z57+Z61+Z65+Z69</f>
        <v>39474059.850000001</v>
      </c>
    </row>
    <row r="76" spans="1:26" x14ac:dyDescent="0.25">
      <c r="D76" s="26" t="s">
        <v>14</v>
      </c>
      <c r="F76" s="219">
        <f>N70</f>
        <v>6094238.8499999996</v>
      </c>
      <c r="G76" s="31" t="s">
        <v>65</v>
      </c>
      <c r="H76" s="84"/>
      <c r="L76" s="48" t="e">
        <f>L73/C80</f>
        <v>#DIV/0!</v>
      </c>
      <c r="V76" s="2"/>
      <c r="X76" s="310" t="s">
        <v>123</v>
      </c>
      <c r="Y76" s="310"/>
      <c r="Z76" s="310" t="s">
        <v>124</v>
      </c>
    </row>
    <row r="77" spans="1:26" ht="15.75" thickBot="1" x14ac:dyDescent="0.3">
      <c r="D77" s="26" t="s">
        <v>98</v>
      </c>
      <c r="F77" s="220">
        <f>Q70</f>
        <v>33379821</v>
      </c>
      <c r="G77" s="31"/>
      <c r="H77" s="84"/>
      <c r="J77" s="218"/>
      <c r="L77" s="48"/>
      <c r="R77" s="26" t="s">
        <v>126</v>
      </c>
      <c r="S77" s="20">
        <f>600000+2203344+2809263.6+1736500.8+3499401.3</f>
        <v>10848509.699999999</v>
      </c>
      <c r="V77" s="2"/>
    </row>
    <row r="78" spans="1:26" x14ac:dyDescent="0.25">
      <c r="D78" s="26" t="s">
        <v>96</v>
      </c>
      <c r="F78" s="219">
        <f>E20++E16+E24+E28+E32+E36+E40+E44+E48+E52+E56+E60++E64+E68</f>
        <v>433291569.31</v>
      </c>
      <c r="G78" s="31" t="s">
        <v>67</v>
      </c>
      <c r="H78" s="84"/>
      <c r="I78" s="218">
        <f>D59-E59</f>
        <v>8145978.2400000095</v>
      </c>
      <c r="L78" s="80"/>
      <c r="N78" s="116"/>
      <c r="O78" s="116"/>
      <c r="P78" s="116" t="s">
        <v>75</v>
      </c>
      <c r="Q78" s="116" t="s">
        <v>76</v>
      </c>
    </row>
    <row r="79" spans="1:26" ht="15.75" thickBot="1" x14ac:dyDescent="0.3">
      <c r="D79" s="26" t="s">
        <v>97</v>
      </c>
      <c r="F79" s="220">
        <f>H20+H24+H28++H32+H16+H36+H40+H44+H48+H52+H56+H60+H64+H68</f>
        <v>1797750</v>
      </c>
      <c r="G79" s="2"/>
      <c r="N79" s="116"/>
      <c r="O79" s="116"/>
      <c r="P79" s="116"/>
      <c r="Q79" s="116"/>
    </row>
    <row r="80" spans="1:26" x14ac:dyDescent="0.25">
      <c r="C80" s="205"/>
      <c r="D80" s="205"/>
      <c r="E80" s="202">
        <f>F78+F79</f>
        <v>435089319.31</v>
      </c>
      <c r="F80" s="184"/>
      <c r="G80" s="184"/>
      <c r="H80" s="80">
        <f>H75+H76+H78</f>
        <v>0</v>
      </c>
      <c r="N80" s="116" t="s">
        <v>68</v>
      </c>
      <c r="O80" s="116"/>
      <c r="P80" s="116"/>
      <c r="Q80" s="116"/>
      <c r="R80" s="116"/>
      <c r="U80" s="298" t="s">
        <v>118</v>
      </c>
      <c r="V80" s="306">
        <f>1+1+1+18</f>
        <v>21</v>
      </c>
      <c r="W80" s="299">
        <f>61601331.24+40139240.4+3499401.31+35939171.89</f>
        <v>141179144.84</v>
      </c>
      <c r="X80" s="300">
        <f>61601331.24+40139240.4+30730310.08</f>
        <v>132470881.72</v>
      </c>
    </row>
    <row r="81" spans="2:25" ht="30" x14ac:dyDescent="0.25">
      <c r="B81" s="80">
        <f>F74-F76-F77</f>
        <v>641197384.73999989</v>
      </c>
      <c r="C81" s="205"/>
      <c r="D81" s="184"/>
      <c r="E81" s="205">
        <f>F76+F77</f>
        <v>39474059.850000001</v>
      </c>
      <c r="F81" s="197">
        <f>F75+F76+F77+F78+F79</f>
        <v>680671444.58999991</v>
      </c>
      <c r="G81" s="222" t="s">
        <v>12</v>
      </c>
      <c r="H81">
        <f>H75+H76+H78</f>
        <v>0</v>
      </c>
      <c r="N81" s="117" t="s">
        <v>77</v>
      </c>
      <c r="O81" s="116"/>
      <c r="P81" s="116"/>
      <c r="Q81" s="116"/>
      <c r="R81" s="116"/>
      <c r="U81" s="301" t="s">
        <v>119</v>
      </c>
      <c r="V81" s="307">
        <f>1+1+1</f>
        <v>3</v>
      </c>
      <c r="W81" s="302">
        <f>61883220+13856760+104445687.38</f>
        <v>180185667.38</v>
      </c>
      <c r="X81" s="302">
        <f>61883220+12409651.6+101312316.74</f>
        <v>175605188.33999997</v>
      </c>
    </row>
    <row r="82" spans="2:25" x14ac:dyDescent="0.25">
      <c r="N82" s="116" t="s">
        <v>70</v>
      </c>
      <c r="O82" s="116"/>
      <c r="P82" s="116"/>
      <c r="Q82" s="116"/>
      <c r="R82" s="116"/>
      <c r="U82" s="301" t="s">
        <v>120</v>
      </c>
      <c r="V82" s="307">
        <f>42+21+10+2+7+11+9+18+13+6+8+12+5</f>
        <v>164</v>
      </c>
      <c r="W82" s="302">
        <f>137233324.98+32223461.52+23176078.81+1901046.33+3568987.53+9476481+47259406.71+26707054.97+23476795.96+8353585.04+11954345.4+11858043.95+6009628</f>
        <v>343198240.19999999</v>
      </c>
      <c r="X82" s="302">
        <f>126055060.58+27112969.76+22787967.23+1776778.56+3241779.29+8761771.13+45844530.61+25641304.97+21405042.13+7512531.34+11354345.4+11623292.8+5990769.72</f>
        <v>319108143.51999998</v>
      </c>
    </row>
    <row r="83" spans="2:25" x14ac:dyDescent="0.25">
      <c r="B83" s="80"/>
      <c r="E83" s="80"/>
      <c r="N83" s="116" t="s">
        <v>91</v>
      </c>
      <c r="O83" s="116"/>
      <c r="P83" s="116"/>
      <c r="Q83" s="116"/>
      <c r="R83" s="116"/>
      <c r="U83" s="301" t="s">
        <v>121</v>
      </c>
      <c r="V83">
        <f>1</f>
        <v>1</v>
      </c>
      <c r="W83" s="302">
        <v>3279160</v>
      </c>
      <c r="X83" s="302">
        <v>3279160</v>
      </c>
    </row>
    <row r="84" spans="2:25" x14ac:dyDescent="0.25">
      <c r="N84" s="116"/>
      <c r="O84" s="116"/>
      <c r="P84" s="116"/>
      <c r="Q84" s="116"/>
      <c r="R84" s="116"/>
      <c r="U84" s="308" t="s">
        <v>122</v>
      </c>
      <c r="V84" s="307">
        <v>10</v>
      </c>
      <c r="W84" s="302">
        <f>10974292.2</f>
        <v>10974292.199999999</v>
      </c>
      <c r="X84" s="302">
        <v>10734011.16</v>
      </c>
    </row>
    <row r="85" spans="2:25" ht="15.75" thickBot="1" x14ac:dyDescent="0.3">
      <c r="N85" s="116" t="s">
        <v>92</v>
      </c>
      <c r="O85" s="116"/>
      <c r="P85" s="116"/>
      <c r="Q85" s="116"/>
      <c r="R85" s="116"/>
      <c r="U85" s="303"/>
      <c r="V85" s="305">
        <f>V80+V81+V82+V84+V83</f>
        <v>199</v>
      </c>
      <c r="W85" s="304">
        <f>W80+W81+W82+W84+W83</f>
        <v>678816504.62000012</v>
      </c>
      <c r="X85" s="304">
        <f>X80+X81+X82+X84+X83</f>
        <v>641197384.73999989</v>
      </c>
    </row>
    <row r="86" spans="2:25" ht="15.75" thickBot="1" x14ac:dyDescent="0.3">
      <c r="F86" s="26" t="s">
        <v>101</v>
      </c>
      <c r="G86" s="26" t="s">
        <v>102</v>
      </c>
      <c r="H86" s="153" t="s">
        <v>82</v>
      </c>
      <c r="I86" s="153" t="s">
        <v>83</v>
      </c>
      <c r="N86" s="116" t="s">
        <v>93</v>
      </c>
      <c r="O86" s="116"/>
      <c r="P86" s="116"/>
      <c r="Q86" s="116"/>
      <c r="R86" s="116"/>
    </row>
    <row r="87" spans="2:25" x14ac:dyDescent="0.25">
      <c r="D87" s="26" t="s">
        <v>68</v>
      </c>
      <c r="F87" s="225">
        <f>D15+D19+D23+D27+D31+D35+D39+D43+D47+D51+D55+D59+D63+D67</f>
        <v>223851855.89000005</v>
      </c>
      <c r="G87" s="225">
        <f>E15+E19+E23+E27+E31+E35+E39+E43+E47+E51+E55+E59+E63+E67</f>
        <v>193441979.79999998</v>
      </c>
      <c r="H87" s="46">
        <f>G87/$G93</f>
        <v>0.28419288239206075</v>
      </c>
      <c r="I87" s="46">
        <f>F87/F93</f>
        <v>0.31162880860270542</v>
      </c>
      <c r="J87" s="26">
        <v>56</v>
      </c>
      <c r="K87" s="46">
        <f>J87/J93</f>
        <v>0.20895522388059701</v>
      </c>
      <c r="N87" s="116" t="s">
        <v>94</v>
      </c>
      <c r="O87" s="116"/>
      <c r="P87" s="116"/>
      <c r="Q87" s="116"/>
      <c r="R87" s="116"/>
      <c r="U87" s="29">
        <f>D70+G70+J70</f>
        <v>678816504.62000012</v>
      </c>
      <c r="V87" s="29">
        <f>X85</f>
        <v>641197384.73999989</v>
      </c>
      <c r="W87" s="2">
        <f>W85-U87</f>
        <v>0</v>
      </c>
      <c r="X87" s="29">
        <f>U87-V87</f>
        <v>37619119.880000234</v>
      </c>
    </row>
    <row r="88" spans="2:25" x14ac:dyDescent="0.25">
      <c r="D88" s="26" t="s">
        <v>69</v>
      </c>
      <c r="F88" s="284">
        <f>G15+G19+G23+G27+G31+G35++G39+G43+G47+G51+G55+G59+G63+G67</f>
        <v>3456999.44</v>
      </c>
      <c r="G88" s="284">
        <f>H15+H19+H23+H27+H31+H35++H39+H43+H47+H51+H55+H59+H63+H67</f>
        <v>2936448</v>
      </c>
      <c r="H88" s="46">
        <f>G88/G93</f>
        <v>4.3140461133473265E-3</v>
      </c>
      <c r="I88" s="46">
        <f>F88/F93</f>
        <v>4.8125605773704254E-3</v>
      </c>
      <c r="J88" s="26">
        <v>10</v>
      </c>
      <c r="K88" s="46">
        <f>J88/J93</f>
        <v>3.7313432835820892E-2</v>
      </c>
      <c r="U88" s="2">
        <f>U87-W85</f>
        <v>0</v>
      </c>
      <c r="Y88" s="2">
        <f>X85-X75</f>
        <v>0</v>
      </c>
    </row>
    <row r="89" spans="2:25" x14ac:dyDescent="0.25">
      <c r="D89" s="26" t="s">
        <v>70</v>
      </c>
      <c r="F89" s="284">
        <f>J15+J19+J23++J27+J31+J35+J39+J43+J47+J51+J55+J59+J63+J67</f>
        <v>14447028.23</v>
      </c>
      <c r="G89" s="284">
        <f>K15+K19+K23++K27+K31+K35+K39+K43+K47+K51+K55+K59+K63+K67</f>
        <v>9729637.6300000008</v>
      </c>
      <c r="H89" s="46">
        <f>G89/G93</f>
        <v>1.4294176298023802E-2</v>
      </c>
      <c r="I89" s="46">
        <f>F89/F93</f>
        <v>2.0112007458079204E-2</v>
      </c>
      <c r="J89" s="26">
        <v>10</v>
      </c>
      <c r="K89" s="46">
        <f>J89/J93</f>
        <v>3.7313432835820892E-2</v>
      </c>
      <c r="X89" s="2">
        <f>X87-U73</f>
        <v>-37939.539999961853</v>
      </c>
    </row>
    <row r="90" spans="2:25" x14ac:dyDescent="0.25">
      <c r="D90" s="26" t="s">
        <v>71</v>
      </c>
      <c r="F90" s="226">
        <f>P70+M70</f>
        <v>39511999.390000001</v>
      </c>
      <c r="G90" s="226">
        <f>Q70+N70</f>
        <v>39474059.850000001</v>
      </c>
      <c r="H90" s="46">
        <f>G90/G93</f>
        <v>5.7992824825752839E-2</v>
      </c>
      <c r="I90" s="46">
        <f>F90/F93</f>
        <v>5.5005473358537282E-2</v>
      </c>
      <c r="J90" s="26">
        <v>69</v>
      </c>
      <c r="K90" s="46">
        <f>J90/J93</f>
        <v>0.2574626865671642</v>
      </c>
      <c r="Q90" s="205"/>
    </row>
    <row r="91" spans="2:25" x14ac:dyDescent="0.25">
      <c r="D91" s="26" t="s">
        <v>99</v>
      </c>
      <c r="F91" s="285">
        <f>D16+D20+D24+D28+D32+D40+D44+D48+D52+D56+D60+D64+D68+D36</f>
        <v>435154371.06000006</v>
      </c>
      <c r="G91" s="286">
        <f>E16+E20+E24+E28+E32+E40+E44+E48+E52+E56+E60+E64+E68+E36</f>
        <v>433291569.31000006</v>
      </c>
      <c r="H91" s="46">
        <f>G91/G93</f>
        <v>0.63656492828341238</v>
      </c>
      <c r="I91" s="46">
        <f>F91/F93</f>
        <v>0.60578741986541318</v>
      </c>
      <c r="J91" s="26">
        <v>116</v>
      </c>
      <c r="K91" s="46"/>
    </row>
    <row r="92" spans="2:25" ht="15.75" thickBot="1" x14ac:dyDescent="0.3">
      <c r="D92" s="26" t="s">
        <v>100</v>
      </c>
      <c r="F92" s="227">
        <f>G16+G20+G24+G28+G32+G36+G40+G44+G48+G52+G56+G60+G64+G68</f>
        <v>1906250</v>
      </c>
      <c r="G92" s="227">
        <f>H16+H20+H24+H28+H32+H36+H40+H44+H48+H52+H56+H60+H64+H68</f>
        <v>1797750</v>
      </c>
      <c r="H92" s="46">
        <f>G92/G93</f>
        <v>2.6411420874029295E-3</v>
      </c>
      <c r="I92" s="46">
        <f>F92/F93</f>
        <v>2.6537301378944896E-3</v>
      </c>
      <c r="J92" s="26">
        <v>7</v>
      </c>
      <c r="K92" s="46">
        <f>J92/J93</f>
        <v>2.6119402985074626E-2</v>
      </c>
      <c r="V92" s="2">
        <f>198834656.22+32223461.52+23176078.81+12875338.53+3568987.53+9476481+47259406.71+128729515.37+23476795.96+8353585.04+11954345.4+11858043.95+26644949.31+140384859.27</f>
        <v>678816504.61999989</v>
      </c>
      <c r="W92" s="2">
        <f>W85-V92</f>
        <v>0</v>
      </c>
    </row>
    <row r="93" spans="2:25" ht="15.75" thickBot="1" x14ac:dyDescent="0.3">
      <c r="F93" s="224">
        <f>SUM(F87:F92)</f>
        <v>718328504.01000011</v>
      </c>
      <c r="G93" s="223">
        <f>SUM(G87:G92)</f>
        <v>680671444.59000003</v>
      </c>
      <c r="H93" s="46">
        <f>SUM(H87:H92)</f>
        <v>1</v>
      </c>
      <c r="I93" s="46">
        <f>F93/F93</f>
        <v>1</v>
      </c>
      <c r="J93" s="154">
        <f>SUM(J87:J92)</f>
        <v>268</v>
      </c>
      <c r="K93" s="46">
        <f>J93/J93</f>
        <v>1</v>
      </c>
      <c r="Q93" s="256"/>
      <c r="R93" s="58"/>
      <c r="S93" s="58"/>
      <c r="T93" s="58"/>
      <c r="V93" s="2">
        <f>U87-V92</f>
        <v>0</v>
      </c>
    </row>
    <row r="94" spans="2:25" ht="15.75" thickBot="1" x14ac:dyDescent="0.3">
      <c r="C94" s="206">
        <f>F87+F91</f>
        <v>659006226.95000005</v>
      </c>
      <c r="D94" s="209"/>
      <c r="E94" s="321" t="s">
        <v>125</v>
      </c>
      <c r="F94" s="80">
        <f>F73-F93</f>
        <v>0</v>
      </c>
      <c r="N94" s="155"/>
      <c r="O94" s="155"/>
      <c r="P94" s="156"/>
      <c r="Q94" s="17"/>
      <c r="R94" s="15"/>
      <c r="S94" s="257"/>
      <c r="T94" s="58"/>
      <c r="V94">
        <v>10</v>
      </c>
    </row>
    <row r="95" spans="2:25" x14ac:dyDescent="0.25">
      <c r="C95" s="80">
        <f>F88+F92</f>
        <v>5363249.4399999995</v>
      </c>
      <c r="D95" s="204"/>
      <c r="E95" s="207">
        <f>G87+G88+G89</f>
        <v>206108065.42999998</v>
      </c>
      <c r="F95" s="46">
        <f>E95/G93</f>
        <v>0.30280110480343186</v>
      </c>
      <c r="J95" s="614">
        <f>G87+G88+G89</f>
        <v>206108065.42999998</v>
      </c>
      <c r="K95">
        <f>J87+J88+J89</f>
        <v>76</v>
      </c>
      <c r="N95" s="155"/>
      <c r="O95" s="155"/>
      <c r="P95" s="156"/>
      <c r="Q95" s="258"/>
      <c r="R95" s="15"/>
      <c r="S95" s="257"/>
      <c r="T95" s="58"/>
      <c r="U95" s="299"/>
      <c r="V95">
        <f>1+1+1+18</f>
        <v>21</v>
      </c>
    </row>
    <row r="96" spans="2:25" x14ac:dyDescent="0.25">
      <c r="B96" s="20">
        <f>F91+F92</f>
        <v>437060621.06000006</v>
      </c>
      <c r="C96" s="20"/>
      <c r="D96" s="253"/>
      <c r="E96" s="207">
        <f>G90</f>
        <v>39474059.850000001</v>
      </c>
      <c r="F96" s="46">
        <f>E96/G93</f>
        <v>5.7992824825752839E-2</v>
      </c>
      <c r="J96" s="614">
        <f>G91+G92</f>
        <v>435089319.31000006</v>
      </c>
      <c r="N96" s="155"/>
      <c r="O96" s="155"/>
      <c r="P96" s="156"/>
      <c r="Q96" s="258"/>
      <c r="R96" s="15"/>
      <c r="S96" s="257"/>
      <c r="T96" s="58"/>
      <c r="U96" s="302"/>
      <c r="V96">
        <f>1+1+1</f>
        <v>3</v>
      </c>
    </row>
    <row r="97" spans="2:25" x14ac:dyDescent="0.25">
      <c r="B97" s="20" t="s">
        <v>103</v>
      </c>
      <c r="C97" s="20"/>
      <c r="D97" s="253"/>
      <c r="E97" s="322">
        <f>F90+F91+F92</f>
        <v>476572620.45000005</v>
      </c>
      <c r="F97" s="46">
        <f>E97/G93</f>
        <v>0.70015074708630065</v>
      </c>
      <c r="H97" s="208"/>
      <c r="N97" s="155"/>
      <c r="O97" s="155"/>
      <c r="P97" s="156"/>
      <c r="Q97" s="258"/>
      <c r="R97" s="15"/>
      <c r="S97" s="15"/>
      <c r="T97" s="58"/>
      <c r="U97" s="302"/>
      <c r="V97">
        <f>42+21+10+2+7+12+9+18+13+6+8+11+5</f>
        <v>164</v>
      </c>
    </row>
    <row r="98" spans="2:25" x14ac:dyDescent="0.25">
      <c r="B98" s="26"/>
      <c r="C98" s="26"/>
      <c r="D98" s="253"/>
      <c r="E98" s="198">
        <f>G91+G92</f>
        <v>435089319.31000006</v>
      </c>
      <c r="F98" s="46">
        <f>E98/G93</f>
        <v>0.63920607037081534</v>
      </c>
      <c r="H98" s="208"/>
      <c r="I98" s="108">
        <f>H98/G93</f>
        <v>0</v>
      </c>
      <c r="N98" s="15"/>
      <c r="O98" s="15"/>
      <c r="P98" s="157"/>
      <c r="Q98" s="17"/>
      <c r="R98" s="15"/>
      <c r="S98" s="15"/>
      <c r="T98" s="58"/>
      <c r="U98" s="302"/>
      <c r="V98">
        <v>1</v>
      </c>
    </row>
    <row r="99" spans="2:25" ht="15.75" thickBot="1" x14ac:dyDescent="0.3">
      <c r="D99" s="204"/>
      <c r="E99" s="85">
        <f>E95+E96+E98</f>
        <v>680671444.59000003</v>
      </c>
      <c r="F99" s="323">
        <f>F95+F96+F98</f>
        <v>1</v>
      </c>
      <c r="H99" s="208"/>
      <c r="N99" s="15"/>
      <c r="O99" s="19"/>
      <c r="P99" s="19"/>
      <c r="Q99" s="17"/>
      <c r="R99" s="15"/>
      <c r="S99" s="15"/>
      <c r="T99" s="58"/>
    </row>
    <row r="100" spans="2:25" ht="15.75" thickBot="1" x14ac:dyDescent="0.3">
      <c r="D100" s="162"/>
      <c r="E100" s="163" t="s">
        <v>83</v>
      </c>
      <c r="F100" s="164" t="s">
        <v>84</v>
      </c>
      <c r="G100" s="164" t="s">
        <v>85</v>
      </c>
      <c r="H100" s="165"/>
      <c r="N100" s="15"/>
      <c r="O100" s="15"/>
      <c r="P100" s="15"/>
      <c r="U100" s="266"/>
      <c r="V100" s="267" t="s">
        <v>101</v>
      </c>
      <c r="W100" s="267" t="s">
        <v>110</v>
      </c>
      <c r="X100" s="268" t="s">
        <v>114</v>
      </c>
    </row>
    <row r="101" spans="2:25" ht="19.5" customHeight="1" x14ac:dyDescent="0.25">
      <c r="C101">
        <f>1+3+22+1+1+5+5+5+2+2+3+1+5</f>
        <v>56</v>
      </c>
      <c r="D101" s="179" t="s">
        <v>86</v>
      </c>
      <c r="E101" s="228">
        <f>F87</f>
        <v>223851855.89000005</v>
      </c>
      <c r="F101" s="167">
        <f t="shared" ref="E101:F104" si="59">G87</f>
        <v>193441979.79999998</v>
      </c>
      <c r="G101" s="210">
        <f>E101-F101</f>
        <v>30409876.090000063</v>
      </c>
      <c r="H101" s="168">
        <f>G101/E101</f>
        <v>0.135848219658913</v>
      </c>
      <c r="K101" s="211">
        <f>E101+E115</f>
        <v>659006226.95000005</v>
      </c>
      <c r="L101" s="211">
        <f>F101+F115</f>
        <v>626733549.1099999</v>
      </c>
      <c r="M101">
        <v>56</v>
      </c>
      <c r="N101" s="195">
        <f>M101/M107</f>
        <v>0.38620689655172413</v>
      </c>
      <c r="O101" s="155"/>
      <c r="P101" s="158"/>
      <c r="U101" s="259" t="s">
        <v>109</v>
      </c>
      <c r="V101" s="280">
        <f>437366.8+86500+1031061+73000</f>
        <v>1627927.8</v>
      </c>
      <c r="W101" s="280">
        <f>437366.8+75500+1031061+73000</f>
        <v>1616927.8</v>
      </c>
      <c r="X101" s="281">
        <f>1+2+2+1</f>
        <v>6</v>
      </c>
      <c r="Y101" s="2">
        <f>V101-W101</f>
        <v>11000</v>
      </c>
    </row>
    <row r="102" spans="2:25" ht="19.5" customHeight="1" x14ac:dyDescent="0.25">
      <c r="C102">
        <f>3+1+1+1+1+3</f>
        <v>10</v>
      </c>
      <c r="D102" s="180" t="s">
        <v>77</v>
      </c>
      <c r="E102" s="169">
        <f>F88</f>
        <v>3456999.44</v>
      </c>
      <c r="F102" s="169">
        <f t="shared" si="59"/>
        <v>2936448</v>
      </c>
      <c r="G102" s="187">
        <f t="shared" ref="G102:G107" si="60">E102-F102</f>
        <v>520551.43999999994</v>
      </c>
      <c r="H102" s="168">
        <f t="shared" ref="H102:H107" si="61">G102/E102</f>
        <v>0.15057897724160463</v>
      </c>
      <c r="K102" s="211">
        <f>E102+E116</f>
        <v>5363249.4399999995</v>
      </c>
      <c r="L102" s="211">
        <f>F102+F116</f>
        <v>4734198</v>
      </c>
      <c r="M102">
        <v>10</v>
      </c>
      <c r="N102" s="195">
        <f>M102/M107</f>
        <v>6.8965517241379309E-2</v>
      </c>
      <c r="O102" s="15"/>
      <c r="P102" s="17"/>
      <c r="U102" s="260" t="s">
        <v>111</v>
      </c>
      <c r="V102" s="255"/>
      <c r="W102" s="255"/>
      <c r="X102" s="263"/>
      <c r="Y102" s="2"/>
    </row>
    <row r="103" spans="2:25" x14ac:dyDescent="0.25">
      <c r="D103" s="181" t="s">
        <v>70</v>
      </c>
      <c r="E103" s="169">
        <f>F89</f>
        <v>14447028.23</v>
      </c>
      <c r="F103" s="169">
        <f t="shared" si="59"/>
        <v>9729637.6300000008</v>
      </c>
      <c r="G103" s="228">
        <f t="shared" si="60"/>
        <v>4717390.5999999996</v>
      </c>
      <c r="H103" s="168">
        <f>G103/E103</f>
        <v>0.32653017111187577</v>
      </c>
      <c r="K103" s="211">
        <f>E103+E118</f>
        <v>14447028.23</v>
      </c>
      <c r="L103" s="211">
        <f>F103+F119</f>
        <v>444818956.93999994</v>
      </c>
      <c r="M103">
        <v>10</v>
      </c>
      <c r="N103" s="195">
        <f>M103/M107</f>
        <v>6.8965517241379309E-2</v>
      </c>
      <c r="O103" s="160"/>
      <c r="P103" s="159"/>
      <c r="U103" s="260" t="s">
        <v>112</v>
      </c>
      <c r="V103" s="280">
        <f>644115.15+141709.5+92968.26+1863641.36+214152.86+1096674.07+137583.52+7214.21+306191.56</f>
        <v>4504250.49</v>
      </c>
      <c r="W103" s="280">
        <f>V103-692.96-26246.58</f>
        <v>4477310.95</v>
      </c>
      <c r="X103" s="263">
        <v>25</v>
      </c>
      <c r="Y103" s="2">
        <f>V103-W103</f>
        <v>26939.540000000037</v>
      </c>
    </row>
    <row r="104" spans="2:25" ht="25.5" customHeight="1" x14ac:dyDescent="0.25">
      <c r="D104" s="182" t="s">
        <v>87</v>
      </c>
      <c r="E104" s="170">
        <f t="shared" si="59"/>
        <v>39511999.390000001</v>
      </c>
      <c r="F104" s="170">
        <f t="shared" si="59"/>
        <v>39474059.850000001</v>
      </c>
      <c r="G104" s="230">
        <f t="shared" si="60"/>
        <v>37939.539999999106</v>
      </c>
      <c r="H104" s="189">
        <f t="shared" si="61"/>
        <v>9.6020299113491931E-4</v>
      </c>
      <c r="K104" s="211">
        <f>E104</f>
        <v>39511999.390000001</v>
      </c>
      <c r="L104" s="211">
        <f>F104</f>
        <v>39474059.850000001</v>
      </c>
      <c r="M104">
        <f>31+38</f>
        <v>69</v>
      </c>
      <c r="N104" s="195">
        <f>M104/M107</f>
        <v>0.47586206896551725</v>
      </c>
      <c r="O104" s="160"/>
      <c r="P104" s="159"/>
      <c r="U104" s="260"/>
      <c r="V104" s="282">
        <f>SUM(V101:V103)</f>
        <v>6132178.29</v>
      </c>
      <c r="W104" s="282">
        <f>SUM(W101:W103)</f>
        <v>6094238.75</v>
      </c>
      <c r="X104" s="265">
        <f>X101+X103</f>
        <v>31</v>
      </c>
      <c r="Y104" s="2">
        <f>V104-W104</f>
        <v>37939.540000000037</v>
      </c>
    </row>
    <row r="105" spans="2:25" ht="25.5" customHeight="1" x14ac:dyDescent="0.25">
      <c r="D105" s="269"/>
      <c r="E105" s="270"/>
      <c r="F105" s="270"/>
      <c r="G105" s="230"/>
      <c r="H105" s="271"/>
      <c r="K105" s="211"/>
      <c r="L105" s="211"/>
      <c r="N105" s="195"/>
      <c r="O105" s="160"/>
      <c r="P105" s="159"/>
      <c r="U105" s="260"/>
      <c r="V105" s="264"/>
      <c r="W105" s="264"/>
      <c r="X105" s="265"/>
    </row>
    <row r="106" spans="2:25" ht="16.5" customHeight="1" thickBot="1" x14ac:dyDescent="0.3">
      <c r="D106" s="269"/>
      <c r="E106" s="270"/>
      <c r="F106" s="270"/>
      <c r="G106" s="230"/>
      <c r="H106" s="271"/>
      <c r="K106" s="211"/>
      <c r="L106" s="211"/>
      <c r="N106" s="195"/>
      <c r="O106" s="160"/>
      <c r="P106" s="159"/>
      <c r="U106" s="277" t="s">
        <v>117</v>
      </c>
      <c r="V106" s="294">
        <f>1116440.92</f>
        <v>1116440.92</v>
      </c>
      <c r="W106" s="294">
        <f>1116440.92</f>
        <v>1116440.92</v>
      </c>
      <c r="X106" s="265">
        <f>5</f>
        <v>5</v>
      </c>
    </row>
    <row r="107" spans="2:25" ht="15.75" thickBot="1" x14ac:dyDescent="0.3">
      <c r="D107" s="188"/>
      <c r="E107" s="229">
        <f>SUM(E101:E104)</f>
        <v>281267882.95000005</v>
      </c>
      <c r="F107" s="229">
        <f>SUM(F101:F104)</f>
        <v>245582125.27999997</v>
      </c>
      <c r="G107" s="229">
        <f t="shared" si="60"/>
        <v>35685757.670000076</v>
      </c>
      <c r="H107" s="190">
        <f t="shared" si="61"/>
        <v>0.12687462676406536</v>
      </c>
      <c r="I107" s="26"/>
      <c r="K107" s="212">
        <f>SUM(K101:K104)</f>
        <v>718328504.01000011</v>
      </c>
      <c r="L107" s="212">
        <f>F107+F119</f>
        <v>680671444.58999991</v>
      </c>
      <c r="M107" s="194">
        <f>SUM(M101:M104)</f>
        <v>145</v>
      </c>
      <c r="N107" s="195">
        <f>M107/M107</f>
        <v>1</v>
      </c>
      <c r="O107" s="160"/>
      <c r="P107" s="159"/>
      <c r="U107" s="277" t="s">
        <v>111</v>
      </c>
      <c r="V107" s="294">
        <f>644669.7+444712.63</f>
        <v>1089382.33</v>
      </c>
      <c r="W107" s="294">
        <f>644669.7+444712.63</f>
        <v>1089382.33</v>
      </c>
      <c r="X107" s="279">
        <f>2+1</f>
        <v>3</v>
      </c>
    </row>
    <row r="108" spans="2:25" x14ac:dyDescent="0.25">
      <c r="D108" s="272"/>
      <c r="E108" s="273"/>
      <c r="F108" s="273"/>
      <c r="G108" s="273"/>
      <c r="H108" s="274"/>
      <c r="I108" s="26"/>
      <c r="K108" s="275"/>
      <c r="L108" s="275"/>
      <c r="M108" s="276"/>
      <c r="N108" s="195"/>
      <c r="O108" s="160"/>
      <c r="P108" s="159"/>
      <c r="U108" s="277" t="s">
        <v>112</v>
      </c>
      <c r="V108" s="278">
        <f>133836.75+1218.12+209399.22</f>
        <v>344454.08999999997</v>
      </c>
      <c r="W108" s="278">
        <f>133836.75+1218.12+209399.22</f>
        <v>344454.08999999997</v>
      </c>
      <c r="X108" s="279">
        <f>1+1+1</f>
        <v>3</v>
      </c>
    </row>
    <row r="109" spans="2:25" x14ac:dyDescent="0.25">
      <c r="D109" s="272"/>
      <c r="E109" s="273"/>
      <c r="F109" s="273"/>
      <c r="G109" s="273"/>
      <c r="H109" s="274"/>
      <c r="I109" s="26"/>
      <c r="K109" s="275"/>
      <c r="L109" s="275"/>
      <c r="M109" s="276"/>
      <c r="N109" s="195"/>
      <c r="O109" s="160"/>
      <c r="P109" s="159"/>
      <c r="U109" s="277"/>
      <c r="V109" s="294">
        <f>SUM(V106:V108)</f>
        <v>2550277.34</v>
      </c>
      <c r="W109" s="294">
        <f>SUM(W106:W108)</f>
        <v>2550277.34</v>
      </c>
      <c r="X109" s="279">
        <f>SUM(X106:X108)</f>
        <v>11</v>
      </c>
    </row>
    <row r="110" spans="2:25" x14ac:dyDescent="0.25">
      <c r="D110" s="272"/>
      <c r="E110" s="273"/>
      <c r="F110" s="273"/>
      <c r="G110" s="273"/>
      <c r="H110" s="274"/>
      <c r="I110" s="26"/>
      <c r="K110" s="275"/>
      <c r="L110" s="312">
        <f>M107+E124</f>
        <v>268</v>
      </c>
      <c r="M110" s="276"/>
      <c r="N110" s="195"/>
      <c r="O110" s="160"/>
      <c r="P110" s="159"/>
      <c r="U110" s="259" t="s">
        <v>115</v>
      </c>
      <c r="V110" s="255">
        <f>4612266.96+1430620.9+3590038.8</f>
        <v>9632926.6600000001</v>
      </c>
      <c r="W110" s="255">
        <f>4612266.96+1430620.9+3590038.8</f>
        <v>9632926.6600000001</v>
      </c>
      <c r="X110" s="263">
        <f>2+1+1</f>
        <v>4</v>
      </c>
    </row>
    <row r="111" spans="2:25" x14ac:dyDescent="0.25">
      <c r="D111" s="183"/>
      <c r="E111" s="171"/>
      <c r="F111" s="171"/>
      <c r="G111" s="171"/>
      <c r="H111" s="171"/>
      <c r="K111" s="2"/>
      <c r="N111" s="155"/>
      <c r="O111" s="160"/>
      <c r="P111" s="159"/>
      <c r="U111" s="259" t="s">
        <v>116</v>
      </c>
      <c r="V111" s="255">
        <v>192379.07</v>
      </c>
      <c r="W111" s="255">
        <v>192379.07</v>
      </c>
      <c r="X111" s="263">
        <v>4</v>
      </c>
    </row>
    <row r="112" spans="2:25" x14ac:dyDescent="0.25">
      <c r="D112" s="183"/>
      <c r="E112" s="171"/>
      <c r="F112" s="171"/>
      <c r="G112" s="171"/>
      <c r="H112" s="171"/>
      <c r="N112" s="155"/>
      <c r="O112" s="160"/>
      <c r="P112" s="159"/>
      <c r="U112" s="259" t="s">
        <v>113</v>
      </c>
      <c r="V112" s="255">
        <f>4000000+2742136+1200000+1100000+390000+450000+2150000+2700000+850000+370000+1500000+1579000+739247.5+1233854.35</f>
        <v>21004237.850000001</v>
      </c>
      <c r="W112" s="255">
        <f>4000000+2742136+1200000+1100000+390000+450000+2150000+2700000+850000+370000+1500000+1579000+739247.5+1233854.35</f>
        <v>21004237.850000001</v>
      </c>
      <c r="X112" s="263">
        <f>1+2+1+1+1+1+2+3+1+1+1+1+1+2</f>
        <v>19</v>
      </c>
      <c r="Y112" s="2">
        <f>V112-W112</f>
        <v>0</v>
      </c>
    </row>
    <row r="113" spans="2:25" ht="15.75" thickBot="1" x14ac:dyDescent="0.3">
      <c r="D113" s="184"/>
      <c r="E113" s="171"/>
      <c r="F113" s="172" t="s">
        <v>88</v>
      </c>
      <c r="G113" s="172"/>
      <c r="H113" s="172"/>
      <c r="N113" s="15"/>
      <c r="O113" s="161"/>
      <c r="P113" s="156"/>
      <c r="U113" s="259"/>
      <c r="V113" s="254">
        <f>SUM(V110:V112)</f>
        <v>30829543.580000002</v>
      </c>
      <c r="W113" s="254">
        <f>SUM(W110:W112)</f>
        <v>30829543.580000002</v>
      </c>
      <c r="X113" s="297">
        <v>27</v>
      </c>
    </row>
    <row r="114" spans="2:25" ht="25.5" thickBot="1" x14ac:dyDescent="0.3">
      <c r="D114" s="185"/>
      <c r="E114" s="173" t="s">
        <v>83</v>
      </c>
      <c r="F114" s="174" t="s">
        <v>84</v>
      </c>
      <c r="G114" s="175" t="s">
        <v>85</v>
      </c>
      <c r="H114" s="173"/>
      <c r="Q114" s="58"/>
      <c r="R114" s="58"/>
      <c r="S114" s="58"/>
      <c r="T114" s="58"/>
      <c r="U114" s="261"/>
      <c r="V114" s="282">
        <f>V109+V113</f>
        <v>33379820.920000002</v>
      </c>
      <c r="W114" s="282">
        <f>W109+W113</f>
        <v>33379820.920000002</v>
      </c>
      <c r="X114" s="265">
        <f>X109+X113</f>
        <v>38</v>
      </c>
      <c r="Y114" s="2">
        <f>V114-W114</f>
        <v>0</v>
      </c>
    </row>
    <row r="115" spans="2:25" ht="15.75" thickBot="1" x14ac:dyDescent="0.3">
      <c r="D115" s="179" t="s">
        <v>86</v>
      </c>
      <c r="E115" s="213">
        <f>D16+D20+D24+D28+D32+D36+D40+D44+D48+D56+D60+D64+D68+D52</f>
        <v>435154371.06</v>
      </c>
      <c r="F115" s="213">
        <f>E16+E20+E24+E28+E32+E36+E40+E44+E48+E56+E60+E64+E68+E52</f>
        <v>433291569.30999994</v>
      </c>
      <c r="G115" s="176">
        <f>F16+F20+F24+F28+F32+F36+F40+F44+F48+F56+F60+F64+F68+F52</f>
        <v>1862801.7500000149</v>
      </c>
      <c r="H115" s="177">
        <f>G115/E115</f>
        <v>4.2807837261576486E-3</v>
      </c>
      <c r="K115" s="232" t="s">
        <v>104</v>
      </c>
      <c r="L115" s="52"/>
      <c r="M115" s="317">
        <v>600000</v>
      </c>
      <c r="N115" s="233">
        <v>1</v>
      </c>
      <c r="O115" s="466" t="s">
        <v>86</v>
      </c>
      <c r="Q115" s="58"/>
      <c r="R115" s="58"/>
      <c r="S115" s="58"/>
      <c r="T115" s="58"/>
      <c r="U115" s="262" t="s">
        <v>63</v>
      </c>
      <c r="V115" s="295">
        <f>V104+V114</f>
        <v>39511999.210000001</v>
      </c>
      <c r="W115" s="295">
        <f>W104+W114</f>
        <v>39474059.670000002</v>
      </c>
      <c r="X115" s="296">
        <f>X104+X114</f>
        <v>69</v>
      </c>
      <c r="Y115" s="2">
        <f>Y104+Y114</f>
        <v>37939.540000000037</v>
      </c>
    </row>
    <row r="116" spans="2:25" ht="15.75" thickBot="1" x14ac:dyDescent="0.3">
      <c r="D116" s="180" t="s">
        <v>77</v>
      </c>
      <c r="E116" s="176">
        <f>G16+G20+G24+G32++G40+G44+G52+G56+G60+G64+G68+G48</f>
        <v>1906250</v>
      </c>
      <c r="F116" s="176">
        <f>H16+H20+H24+H32++H40+H44+H52+H56+H60+H64+H68+H48</f>
        <v>1797750</v>
      </c>
      <c r="G116" s="176">
        <f>I16+I20+I24+I32++I40+I44+I52+I56+I60+I64+I68</f>
        <v>106000</v>
      </c>
      <c r="H116" s="178">
        <f t="shared" ref="H116:H120" si="62">G116/E116</f>
        <v>5.5606557377049178E-2</v>
      </c>
      <c r="K116" s="90"/>
      <c r="L116" s="57"/>
      <c r="M116" s="318">
        <f>2203344+2809263.6</f>
        <v>5012607.5999999996</v>
      </c>
      <c r="N116" s="58">
        <v>2</v>
      </c>
      <c r="O116" s="467" t="s">
        <v>86</v>
      </c>
      <c r="Q116" s="58"/>
      <c r="R116" s="58"/>
      <c r="S116" s="58"/>
      <c r="T116" s="58"/>
    </row>
    <row r="117" spans="2:25" ht="15.75" thickBot="1" x14ac:dyDescent="0.3">
      <c r="D117" s="239"/>
      <c r="E117" s="176"/>
      <c r="F117" s="176"/>
      <c r="G117" s="176"/>
      <c r="H117" s="178"/>
      <c r="K117" s="90"/>
      <c r="L117" s="57"/>
      <c r="M117" s="313">
        <f>3866860.24+538768.8+1102278</f>
        <v>5507907.04</v>
      </c>
      <c r="N117" s="58">
        <v>3</v>
      </c>
      <c r="O117" s="467" t="s">
        <v>86</v>
      </c>
      <c r="Q117" s="58"/>
      <c r="R117" s="58"/>
      <c r="S117" s="58"/>
      <c r="T117" s="58"/>
    </row>
    <row r="118" spans="2:25" ht="15.75" thickBot="1" x14ac:dyDescent="0.3">
      <c r="D118" s="181" t="s">
        <v>89</v>
      </c>
      <c r="E118" s="176">
        <f>M28</f>
        <v>0</v>
      </c>
      <c r="F118" s="176">
        <f>N28</f>
        <v>0</v>
      </c>
      <c r="G118" s="176">
        <f>O28</f>
        <v>0</v>
      </c>
      <c r="H118" s="178" t="e">
        <f>G118/E118</f>
        <v>#DIV/0!</v>
      </c>
      <c r="K118" s="90"/>
      <c r="L118" s="57"/>
      <c r="M118" s="240">
        <f>SUM(M115:M117)</f>
        <v>11120514.640000001</v>
      </c>
      <c r="N118" s="231">
        <v>6</v>
      </c>
      <c r="O118" s="467" t="s">
        <v>86</v>
      </c>
      <c r="Q118" s="58"/>
      <c r="R118" s="58"/>
      <c r="S118" s="58"/>
      <c r="T118" s="58"/>
    </row>
    <row r="119" spans="2:25" ht="15.75" thickBot="1" x14ac:dyDescent="0.3">
      <c r="D119" s="166" t="s">
        <v>23</v>
      </c>
      <c r="E119" s="213">
        <f>SUM(E115:E118)</f>
        <v>437060621.06</v>
      </c>
      <c r="F119" s="213">
        <f t="shared" ref="F119:G119" si="63">SUM(F115:F118)</f>
        <v>435089319.30999994</v>
      </c>
      <c r="G119" s="213">
        <f t="shared" si="63"/>
        <v>1968801.7500000149</v>
      </c>
      <c r="H119" s="178">
        <f t="shared" si="62"/>
        <v>4.5046422741657531E-3</v>
      </c>
      <c r="I119" s="186"/>
      <c r="K119" s="234" t="s">
        <v>105</v>
      </c>
      <c r="L119" s="238"/>
      <c r="M119" s="314">
        <v>900000</v>
      </c>
      <c r="N119" s="58">
        <v>1</v>
      </c>
      <c r="O119" s="467" t="s">
        <v>86</v>
      </c>
      <c r="Q119" s="58"/>
      <c r="R119" s="58"/>
      <c r="S119" s="58"/>
      <c r="T119" s="58"/>
    </row>
    <row r="120" spans="2:25" ht="15.75" thickBot="1" x14ac:dyDescent="0.3">
      <c r="D120" s="191" t="s">
        <v>90</v>
      </c>
      <c r="E120" s="214">
        <f>E107+E119</f>
        <v>718328504.00999999</v>
      </c>
      <c r="F120" s="214">
        <f>F107+F119</f>
        <v>680671444.58999991</v>
      </c>
      <c r="G120" s="214">
        <f>G107+G119</f>
        <v>37654559.420000091</v>
      </c>
      <c r="H120" s="192">
        <f t="shared" si="62"/>
        <v>5.2419692675143924E-2</v>
      </c>
      <c r="I120" s="154"/>
      <c r="K120" s="90"/>
      <c r="L120" s="57"/>
      <c r="M120" s="318">
        <v>1736500</v>
      </c>
      <c r="N120" s="252">
        <v>1</v>
      </c>
      <c r="O120" s="467"/>
      <c r="Q120" s="58"/>
      <c r="R120" s="58"/>
      <c r="S120" s="58"/>
      <c r="T120" s="58"/>
    </row>
    <row r="121" spans="2:25" ht="15.75" thickBot="1" x14ac:dyDescent="0.3">
      <c r="K121" s="53"/>
      <c r="L121" s="54"/>
      <c r="M121" s="241">
        <f>SUM(M119:M120)</f>
        <v>2636500</v>
      </c>
      <c r="N121" s="231">
        <f>N119+N120</f>
        <v>2</v>
      </c>
      <c r="O121" s="468"/>
      <c r="Q121" s="58"/>
      <c r="R121" s="58"/>
      <c r="S121" s="58"/>
      <c r="T121" s="58"/>
    </row>
    <row r="122" spans="2:25" x14ac:dyDescent="0.25">
      <c r="B122" s="26" t="s">
        <v>103</v>
      </c>
      <c r="D122" s="179" t="s">
        <v>86</v>
      </c>
      <c r="E122" s="26">
        <f>7+13+4+21+3+8+8+12+4+5+9+6+2+14</f>
        <v>116</v>
      </c>
      <c r="F122" s="242">
        <v>435154.4</v>
      </c>
      <c r="G122" s="31" t="s">
        <v>106</v>
      </c>
      <c r="N122" s="26">
        <f>N118+N121</f>
        <v>8</v>
      </c>
      <c r="Q122" s="58"/>
      <c r="R122" s="58"/>
      <c r="S122" s="58"/>
      <c r="T122" s="58"/>
    </row>
    <row r="123" spans="2:25" ht="15.75" thickBot="1" x14ac:dyDescent="0.3">
      <c r="D123" s="180" t="s">
        <v>77</v>
      </c>
      <c r="E123" s="26">
        <f>4+1+1+1</f>
        <v>7</v>
      </c>
      <c r="F123" s="242">
        <v>1906.3</v>
      </c>
      <c r="G123" s="31" t="s">
        <v>107</v>
      </c>
      <c r="M123" s="287">
        <f>(M118+M121)</f>
        <v>13757014.640000001</v>
      </c>
    </row>
    <row r="124" spans="2:25" ht="15.75" thickBot="1" x14ac:dyDescent="0.3">
      <c r="E124" s="243">
        <f>SUM(E122:E123)</f>
        <v>123</v>
      </c>
      <c r="F124" s="244">
        <f>F122+F123</f>
        <v>437060.7</v>
      </c>
      <c r="I124" s="2">
        <f>L130</f>
        <v>0</v>
      </c>
      <c r="M124" s="29">
        <f>M123/1000</f>
        <v>13757.014640000001</v>
      </c>
      <c r="N124" s="208"/>
      <c r="O124" s="315">
        <f>M123-M117</f>
        <v>8249107.6000000006</v>
      </c>
      <c r="P124" s="316">
        <f>8-N117-N119</f>
        <v>4</v>
      </c>
    </row>
    <row r="126" spans="2:25" ht="15.75" x14ac:dyDescent="0.25">
      <c r="E126" s="320">
        <v>131</v>
      </c>
      <c r="F126" s="319">
        <f>F124+M124</f>
        <v>450817.71464000002</v>
      </c>
      <c r="M126" s="208"/>
    </row>
    <row r="127" spans="2:25" x14ac:dyDescent="0.25">
      <c r="C127" s="26">
        <f>C101+E122</f>
        <v>172</v>
      </c>
      <c r="I127" s="26">
        <f>E124+N122</f>
        <v>131</v>
      </c>
      <c r="J127" s="293">
        <f>M124+(F124/1000)</f>
        <v>14194.075340000001</v>
      </c>
      <c r="M127" s="208">
        <f>M115+M116+M120</f>
        <v>7349107.5999999996</v>
      </c>
    </row>
    <row r="128" spans="2:25" x14ac:dyDescent="0.25">
      <c r="C128" s="26">
        <f>C102+E123</f>
        <v>17</v>
      </c>
      <c r="M128" s="209">
        <f>M127+J35</f>
        <v>10848508.91</v>
      </c>
    </row>
    <row r="129" spans="13:13" x14ac:dyDescent="0.25">
      <c r="M129" s="209">
        <f>M115+M116+M117+M119+M120+E115+E116</f>
        <v>450817635.69999999</v>
      </c>
    </row>
  </sheetData>
  <mergeCells count="76">
    <mergeCell ref="D2:Q2"/>
    <mergeCell ref="G3:N3"/>
    <mergeCell ref="R4:T4"/>
    <mergeCell ref="A5:A10"/>
    <mergeCell ref="B5:C10"/>
    <mergeCell ref="D5:F10"/>
    <mergeCell ref="G5:I10"/>
    <mergeCell ref="J5:L5"/>
    <mergeCell ref="M5:O5"/>
    <mergeCell ref="P5:R5"/>
    <mergeCell ref="J6:L6"/>
    <mergeCell ref="M6:O6"/>
    <mergeCell ref="P6:R6"/>
    <mergeCell ref="J7:L7"/>
    <mergeCell ref="M7:O7"/>
    <mergeCell ref="P7:R7"/>
    <mergeCell ref="J8:L8"/>
    <mergeCell ref="M8:O8"/>
    <mergeCell ref="P8:R8"/>
    <mergeCell ref="J9:L9"/>
    <mergeCell ref="M9:O9"/>
    <mergeCell ref="P9:R9"/>
    <mergeCell ref="J10:L10"/>
    <mergeCell ref="M10:O10"/>
    <mergeCell ref="B11:C11"/>
    <mergeCell ref="E11:E12"/>
    <mergeCell ref="F11:F12"/>
    <mergeCell ref="H11:H12"/>
    <mergeCell ref="I11:I12"/>
    <mergeCell ref="K11:K12"/>
    <mergeCell ref="L11:L12"/>
    <mergeCell ref="N11:N12"/>
    <mergeCell ref="B26:C26"/>
    <mergeCell ref="O11:O12"/>
    <mergeCell ref="Q11:Q12"/>
    <mergeCell ref="R11:R12"/>
    <mergeCell ref="B13:C13"/>
    <mergeCell ref="B15:C15"/>
    <mergeCell ref="B16:C16"/>
    <mergeCell ref="B19:C19"/>
    <mergeCell ref="B20:C20"/>
    <mergeCell ref="B22:C22"/>
    <mergeCell ref="B23:C23"/>
    <mergeCell ref="B24:C24"/>
    <mergeCell ref="B42:C42"/>
    <mergeCell ref="B27:C27"/>
    <mergeCell ref="B28:C28"/>
    <mergeCell ref="B30:C30"/>
    <mergeCell ref="B31:C31"/>
    <mergeCell ref="B32:C32"/>
    <mergeCell ref="B34:C34"/>
    <mergeCell ref="B35:C35"/>
    <mergeCell ref="B36:C36"/>
    <mergeCell ref="B38:C38"/>
    <mergeCell ref="B39:C39"/>
    <mergeCell ref="B40:C40"/>
    <mergeCell ref="B58:C58"/>
    <mergeCell ref="B43:C43"/>
    <mergeCell ref="B44:C44"/>
    <mergeCell ref="B46:C46"/>
    <mergeCell ref="B47:C47"/>
    <mergeCell ref="B48:C48"/>
    <mergeCell ref="B50:C50"/>
    <mergeCell ref="B51:C51"/>
    <mergeCell ref="B52:C52"/>
    <mergeCell ref="B54:C54"/>
    <mergeCell ref="B55:C55"/>
    <mergeCell ref="B56:C56"/>
    <mergeCell ref="B67:C67"/>
    <mergeCell ref="B68:C68"/>
    <mergeCell ref="B59:C59"/>
    <mergeCell ref="B60:C60"/>
    <mergeCell ref="B62:C62"/>
    <mergeCell ref="B63:C63"/>
    <mergeCell ref="B64:C64"/>
    <mergeCell ref="B66:C66"/>
  </mergeCells>
  <pageMargins left="0" right="0" top="0" bottom="0" header="0" footer="0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1"/>
  <sheetViews>
    <sheetView topLeftCell="A62" zoomScaleNormal="100" workbookViewId="0">
      <selection activeCell="F94" sqref="F94"/>
    </sheetView>
  </sheetViews>
  <sheetFormatPr defaultRowHeight="15" x14ac:dyDescent="0.25"/>
  <cols>
    <col min="1" max="1" width="3.42578125" customWidth="1"/>
    <col min="2" max="2" width="13.5703125" bestFit="1" customWidth="1"/>
    <col min="3" max="3" width="11.85546875" customWidth="1"/>
    <col min="4" max="4" width="10.5703125" customWidth="1"/>
    <col min="5" max="5" width="13.140625" customWidth="1"/>
    <col min="6" max="6" width="12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9.8554687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19" max="19" width="11.42578125" bestFit="1" customWidth="1"/>
    <col min="21" max="21" width="14.42578125" customWidth="1"/>
    <col min="22" max="22" width="13.42578125" customWidth="1"/>
    <col min="23" max="23" width="15.7109375" customWidth="1"/>
    <col min="24" max="24" width="7.85546875" customWidth="1"/>
    <col min="25" max="25" width="13.28515625" bestFit="1" customWidth="1"/>
    <col min="26" max="26" width="9.5703125" bestFit="1" customWidth="1"/>
  </cols>
  <sheetData>
    <row r="1" spans="1:25" x14ac:dyDescent="0.25">
      <c r="R1" s="26" t="s">
        <v>24</v>
      </c>
      <c r="S1" s="26"/>
    </row>
    <row r="2" spans="1:25" ht="18.75" x14ac:dyDescent="0.25">
      <c r="D2" s="736" t="s">
        <v>26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</row>
    <row r="3" spans="1:25" ht="24.75" customHeight="1" x14ac:dyDescent="0.25">
      <c r="F3" s="62"/>
      <c r="G3" s="736" t="s">
        <v>127</v>
      </c>
      <c r="H3" s="737"/>
      <c r="I3" s="737"/>
      <c r="J3" s="737"/>
      <c r="K3" s="737"/>
      <c r="L3" s="737"/>
      <c r="M3" s="737"/>
      <c r="N3" s="737"/>
      <c r="O3" s="62"/>
      <c r="P3" s="62"/>
    </row>
    <row r="4" spans="1:25" x14ac:dyDescent="0.25">
      <c r="D4" s="18"/>
      <c r="E4" s="19"/>
      <c r="F4" s="19"/>
      <c r="G4" s="15"/>
      <c r="H4" s="19"/>
      <c r="I4" s="15"/>
    </row>
    <row r="5" spans="1:25" ht="12" customHeight="1" thickBot="1" x14ac:dyDescent="0.3">
      <c r="D5" s="18"/>
      <c r="E5" s="19"/>
      <c r="F5" s="19"/>
      <c r="G5" s="15"/>
      <c r="H5" s="19"/>
      <c r="I5" s="15"/>
      <c r="R5" s="739" t="s">
        <v>27</v>
      </c>
      <c r="S5" s="739"/>
      <c r="T5" s="739"/>
    </row>
    <row r="6" spans="1:25" ht="15" customHeight="1" x14ac:dyDescent="0.25">
      <c r="A6" s="766" t="s">
        <v>28</v>
      </c>
      <c r="B6" s="754" t="s">
        <v>29</v>
      </c>
      <c r="C6" s="755"/>
      <c r="D6" s="771" t="s">
        <v>2</v>
      </c>
      <c r="E6" s="754"/>
      <c r="F6" s="755"/>
      <c r="G6" s="754" t="s">
        <v>3</v>
      </c>
      <c r="H6" s="754"/>
      <c r="I6" s="755"/>
      <c r="J6" s="773"/>
      <c r="K6" s="774"/>
      <c r="L6" s="775"/>
      <c r="M6" s="771"/>
      <c r="N6" s="754"/>
      <c r="O6" s="754"/>
      <c r="P6" s="771"/>
      <c r="Q6" s="754"/>
      <c r="R6" s="755"/>
      <c r="S6" s="123"/>
      <c r="T6" s="124"/>
    </row>
    <row r="7" spans="1:25" ht="15" customHeight="1" x14ac:dyDescent="0.25">
      <c r="A7" s="767"/>
      <c r="B7" s="758"/>
      <c r="C7" s="759"/>
      <c r="D7" s="757"/>
      <c r="E7" s="758"/>
      <c r="F7" s="759"/>
      <c r="G7" s="758"/>
      <c r="H7" s="758"/>
      <c r="I7" s="759"/>
      <c r="J7" s="757"/>
      <c r="K7" s="758"/>
      <c r="L7" s="759"/>
      <c r="M7" s="757"/>
      <c r="N7" s="758"/>
      <c r="O7" s="758"/>
      <c r="P7" s="757"/>
      <c r="Q7" s="758"/>
      <c r="R7" s="759"/>
      <c r="S7" s="125"/>
      <c r="T7" s="126"/>
    </row>
    <row r="8" spans="1:25" x14ac:dyDescent="0.25">
      <c r="A8" s="767"/>
      <c r="B8" s="758"/>
      <c r="C8" s="759"/>
      <c r="D8" s="757"/>
      <c r="E8" s="758"/>
      <c r="F8" s="759"/>
      <c r="G8" s="758"/>
      <c r="H8" s="758"/>
      <c r="I8" s="759"/>
      <c r="J8" s="757"/>
      <c r="K8" s="758"/>
      <c r="L8" s="759"/>
      <c r="M8" s="757"/>
      <c r="N8" s="758"/>
      <c r="O8" s="758"/>
      <c r="P8" s="757"/>
      <c r="Q8" s="758"/>
      <c r="R8" s="759"/>
      <c r="S8" s="125"/>
      <c r="T8" s="126"/>
    </row>
    <row r="9" spans="1:25" ht="15" customHeight="1" x14ac:dyDescent="0.25">
      <c r="A9" s="767"/>
      <c r="B9" s="758"/>
      <c r="C9" s="759"/>
      <c r="D9" s="757"/>
      <c r="E9" s="758"/>
      <c r="F9" s="759"/>
      <c r="G9" s="758"/>
      <c r="H9" s="758"/>
      <c r="I9" s="759"/>
      <c r="J9" s="757" t="s">
        <v>4</v>
      </c>
      <c r="K9" s="758"/>
      <c r="L9" s="758"/>
      <c r="M9" s="757" t="s">
        <v>5</v>
      </c>
      <c r="N9" s="758"/>
      <c r="O9" s="759"/>
      <c r="P9" s="757" t="s">
        <v>5</v>
      </c>
      <c r="Q9" s="758"/>
      <c r="R9" s="759"/>
      <c r="S9" s="125"/>
      <c r="T9" s="126"/>
    </row>
    <row r="10" spans="1:25" x14ac:dyDescent="0.25">
      <c r="A10" s="767"/>
      <c r="B10" s="758"/>
      <c r="C10" s="759"/>
      <c r="D10" s="757"/>
      <c r="E10" s="758"/>
      <c r="F10" s="759"/>
      <c r="G10" s="758"/>
      <c r="H10" s="758"/>
      <c r="I10" s="759"/>
      <c r="J10" s="760"/>
      <c r="K10" s="761"/>
      <c r="L10" s="762"/>
      <c r="M10" s="763" t="s">
        <v>40</v>
      </c>
      <c r="N10" s="764"/>
      <c r="O10" s="765"/>
      <c r="P10" s="763" t="s">
        <v>95</v>
      </c>
      <c r="Q10" s="764"/>
      <c r="R10" s="765"/>
      <c r="S10" s="125"/>
      <c r="T10" s="126"/>
    </row>
    <row r="11" spans="1:25" ht="15.75" thickBot="1" x14ac:dyDescent="0.3">
      <c r="A11" s="768"/>
      <c r="B11" s="769"/>
      <c r="C11" s="770"/>
      <c r="D11" s="772"/>
      <c r="E11" s="769"/>
      <c r="F11" s="770"/>
      <c r="G11" s="769"/>
      <c r="H11" s="769"/>
      <c r="I11" s="770"/>
      <c r="J11" s="751"/>
      <c r="K11" s="752"/>
      <c r="L11" s="753"/>
      <c r="M11" s="751"/>
      <c r="N11" s="752"/>
      <c r="O11" s="752"/>
      <c r="P11" s="127"/>
      <c r="Q11" s="128"/>
      <c r="R11" s="129"/>
      <c r="S11" s="130"/>
      <c r="T11" s="249"/>
      <c r="U11" s="27"/>
      <c r="V11" s="27"/>
    </row>
    <row r="12" spans="1:25" ht="72" customHeight="1" thickBot="1" x14ac:dyDescent="0.3">
      <c r="A12" s="250"/>
      <c r="B12" s="754" t="s">
        <v>30</v>
      </c>
      <c r="C12" s="755"/>
      <c r="D12" s="133" t="s">
        <v>37</v>
      </c>
      <c r="E12" s="749" t="s">
        <v>9</v>
      </c>
      <c r="F12" s="747" t="s">
        <v>39</v>
      </c>
      <c r="G12" s="133" t="s">
        <v>38</v>
      </c>
      <c r="H12" s="749" t="s">
        <v>9</v>
      </c>
      <c r="I12" s="747" t="s">
        <v>39</v>
      </c>
      <c r="J12" s="133" t="s">
        <v>38</v>
      </c>
      <c r="K12" s="749" t="s">
        <v>11</v>
      </c>
      <c r="L12" s="747" t="s">
        <v>39</v>
      </c>
      <c r="M12" s="133" t="s">
        <v>38</v>
      </c>
      <c r="N12" s="749" t="s">
        <v>9</v>
      </c>
      <c r="O12" s="747" t="s">
        <v>39</v>
      </c>
      <c r="P12" s="133" t="s">
        <v>38</v>
      </c>
      <c r="Q12" s="749" t="s">
        <v>9</v>
      </c>
      <c r="R12" s="747" t="s">
        <v>39</v>
      </c>
      <c r="S12" s="134" t="s">
        <v>17</v>
      </c>
      <c r="T12" s="251" t="s">
        <v>18</v>
      </c>
      <c r="U12" s="27"/>
      <c r="V12" s="27"/>
    </row>
    <row r="13" spans="1:25" ht="15.75" hidden="1" customHeight="1" thickBot="1" x14ac:dyDescent="0.3">
      <c r="A13" s="250"/>
      <c r="B13" s="136"/>
      <c r="C13" s="136"/>
      <c r="D13" s="137" t="s">
        <v>8</v>
      </c>
      <c r="E13" s="756"/>
      <c r="F13" s="748"/>
      <c r="G13" s="138" t="s">
        <v>8</v>
      </c>
      <c r="H13" s="750"/>
      <c r="I13" s="748"/>
      <c r="J13" s="138" t="s">
        <v>8</v>
      </c>
      <c r="K13" s="750"/>
      <c r="L13" s="748"/>
      <c r="M13" s="138" t="s">
        <v>8</v>
      </c>
      <c r="N13" s="750"/>
      <c r="O13" s="748"/>
      <c r="P13" s="138" t="s">
        <v>8</v>
      </c>
      <c r="Q13" s="750"/>
      <c r="R13" s="748"/>
      <c r="S13" s="134"/>
      <c r="T13" s="134"/>
      <c r="U13" s="27"/>
      <c r="V13" s="27"/>
    </row>
    <row r="14" spans="1:25" ht="15.75" thickBot="1" x14ac:dyDescent="0.3">
      <c r="A14" s="63">
        <v>1</v>
      </c>
      <c r="B14" s="734">
        <v>2</v>
      </c>
      <c r="C14" s="735"/>
      <c r="D14" s="248">
        <v>3</v>
      </c>
      <c r="E14" s="245">
        <v>4</v>
      </c>
      <c r="F14" s="247">
        <v>5</v>
      </c>
      <c r="G14" s="246">
        <v>6</v>
      </c>
      <c r="H14" s="247">
        <v>7</v>
      </c>
      <c r="I14" s="247">
        <v>8</v>
      </c>
      <c r="J14" s="247">
        <v>9</v>
      </c>
      <c r="K14" s="247">
        <v>10</v>
      </c>
      <c r="L14" s="247">
        <v>11</v>
      </c>
      <c r="M14" s="247">
        <v>12</v>
      </c>
      <c r="N14" s="247">
        <v>13</v>
      </c>
      <c r="O14" s="247">
        <v>14</v>
      </c>
      <c r="P14" s="247">
        <v>15</v>
      </c>
      <c r="Q14" s="247">
        <v>16</v>
      </c>
      <c r="R14" s="247">
        <v>17</v>
      </c>
      <c r="S14" s="248">
        <v>18</v>
      </c>
      <c r="T14" s="248">
        <v>19</v>
      </c>
      <c r="U14" s="27"/>
      <c r="V14" s="27"/>
    </row>
    <row r="15" spans="1:25" ht="15" customHeight="1" x14ac:dyDescent="0.25">
      <c r="A15" s="89" t="s">
        <v>31</v>
      </c>
      <c r="B15" s="148" t="s">
        <v>32</v>
      </c>
      <c r="C15" s="149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152"/>
      <c r="V15" s="152"/>
      <c r="W15" s="46"/>
    </row>
    <row r="16" spans="1:25" ht="35.25" customHeight="1" x14ac:dyDescent="0.25">
      <c r="A16" s="90"/>
      <c r="B16" s="726" t="s">
        <v>73</v>
      </c>
      <c r="C16" s="727"/>
      <c r="D16" s="92">
        <v>10685966.460000001</v>
      </c>
      <c r="E16" s="92">
        <v>8614212.6300000008</v>
      </c>
      <c r="F16" s="92">
        <f>D16-E16</f>
        <v>2071753.83</v>
      </c>
      <c r="G16" s="91"/>
      <c r="H16" s="91"/>
      <c r="I16" s="91"/>
      <c r="J16" s="91"/>
      <c r="K16" s="91"/>
      <c r="L16" s="91"/>
      <c r="M16" s="92">
        <v>137583.51999999999</v>
      </c>
      <c r="N16" s="92">
        <v>111336.94</v>
      </c>
      <c r="O16" s="91">
        <f>M16-N16</f>
        <v>26246.579999999987</v>
      </c>
      <c r="P16" s="92">
        <v>450000</v>
      </c>
      <c r="Q16" s="92">
        <v>450000</v>
      </c>
      <c r="R16" s="91">
        <f>P16-Q16</f>
        <v>0</v>
      </c>
      <c r="S16" s="91">
        <f>F16+I16+L16+O16+R16</f>
        <v>2098000.41</v>
      </c>
      <c r="T16" s="91"/>
      <c r="U16" s="215">
        <f>D16+G16+J16+M16+P16</f>
        <v>11273549.98</v>
      </c>
      <c r="V16" s="215">
        <f>E16+H16+K16+N16+Q16</f>
        <v>9175549.5700000003</v>
      </c>
      <c r="W16" s="46"/>
      <c r="Y16" s="218">
        <f>M16+P16</f>
        <v>587583.52</v>
      </c>
    </row>
    <row r="17" spans="1:25" ht="36" customHeight="1" thickBot="1" x14ac:dyDescent="0.3">
      <c r="A17" s="53"/>
      <c r="B17" s="730" t="s">
        <v>74</v>
      </c>
      <c r="C17" s="731"/>
      <c r="D17" s="75">
        <v>12790829.5</v>
      </c>
      <c r="E17" s="75">
        <v>12790829.5</v>
      </c>
      <c r="F17" s="75">
        <f>D17-E17</f>
        <v>0</v>
      </c>
      <c r="G17" s="75"/>
      <c r="H17" s="75"/>
      <c r="I17" s="75">
        <f>G17-H17</f>
        <v>0</v>
      </c>
      <c r="J17" s="75"/>
      <c r="K17" s="75"/>
      <c r="L17" s="75"/>
      <c r="M17" s="75"/>
      <c r="N17" s="75"/>
      <c r="O17" s="75"/>
      <c r="P17" s="75"/>
      <c r="Q17" s="75"/>
      <c r="R17" s="75">
        <f t="shared" ref="R17:R70" si="0">P17-Q17</f>
        <v>0</v>
      </c>
      <c r="S17" s="75">
        <f t="shared" ref="S17:S41" si="1">F17+I17+L17+O17+R17</f>
        <v>0</v>
      </c>
      <c r="T17" s="75"/>
      <c r="U17" s="152">
        <f t="shared" ref="U17:V48" si="2">D17+G17+J17+M17+P17</f>
        <v>12790829.5</v>
      </c>
      <c r="V17" s="152">
        <f t="shared" si="2"/>
        <v>12790829.5</v>
      </c>
      <c r="W17" s="201" t="s">
        <v>79</v>
      </c>
      <c r="Y17" s="26" t="s">
        <v>80</v>
      </c>
    </row>
    <row r="18" spans="1:25" ht="15" customHeight="1" thickBot="1" x14ac:dyDescent="0.3">
      <c r="A18" s="93"/>
      <c r="B18" s="94" t="s">
        <v>23</v>
      </c>
      <c r="C18" s="61"/>
      <c r="D18" s="71">
        <f>D16+D17</f>
        <v>23476795.960000001</v>
      </c>
      <c r="E18" s="71">
        <f>E16+E17</f>
        <v>21405042.130000003</v>
      </c>
      <c r="F18" s="77">
        <f>D18-E18</f>
        <v>2071753.8299999982</v>
      </c>
      <c r="G18" s="73">
        <f t="shared" ref="G18:R18" si="3">G17+G15</f>
        <v>0</v>
      </c>
      <c r="H18" s="73">
        <f t="shared" si="3"/>
        <v>0</v>
      </c>
      <c r="I18" s="72">
        <f t="shared" si="3"/>
        <v>0</v>
      </c>
      <c r="J18" s="73">
        <f t="shared" si="3"/>
        <v>0</v>
      </c>
      <c r="K18" s="73">
        <f t="shared" si="3"/>
        <v>0</v>
      </c>
      <c r="L18" s="72">
        <f t="shared" si="3"/>
        <v>0</v>
      </c>
      <c r="M18" s="73">
        <f>M16</f>
        <v>137583.51999999999</v>
      </c>
      <c r="N18" s="73">
        <f>N16</f>
        <v>111336.94</v>
      </c>
      <c r="O18" s="72">
        <f>O16</f>
        <v>26246.579999999987</v>
      </c>
      <c r="P18" s="73">
        <f>P16</f>
        <v>450000</v>
      </c>
      <c r="Q18" s="73">
        <f>Q16</f>
        <v>450000</v>
      </c>
      <c r="R18" s="72">
        <f t="shared" si="3"/>
        <v>0</v>
      </c>
      <c r="S18" s="104">
        <f>S17+S16</f>
        <v>2098000.41</v>
      </c>
      <c r="T18" s="196"/>
      <c r="U18" s="200">
        <f t="shared" si="2"/>
        <v>24064379.48</v>
      </c>
      <c r="V18" s="200">
        <f t="shared" si="2"/>
        <v>21966379.070000004</v>
      </c>
      <c r="W18" s="46">
        <f>S18/(D18+G18+J18+P18+M18)</f>
        <v>8.7182817730399265E-2</v>
      </c>
      <c r="X18" s="46"/>
      <c r="Y18" s="108">
        <f>S18/(D18+G18++P18+J18+M18)</f>
        <v>8.7182817730399265E-2</v>
      </c>
    </row>
    <row r="19" spans="1:25" x14ac:dyDescent="0.25">
      <c r="A19" s="33" t="s">
        <v>33</v>
      </c>
      <c r="B19" s="150" t="s">
        <v>34</v>
      </c>
      <c r="C19" s="15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152">
        <f t="shared" si="2"/>
        <v>0</v>
      </c>
      <c r="V19" s="152">
        <f t="shared" si="2"/>
        <v>0</v>
      </c>
      <c r="W19" s="46"/>
      <c r="X19" s="46"/>
      <c r="Y19" s="46"/>
    </row>
    <row r="20" spans="1:25" ht="36.75" customHeight="1" x14ac:dyDescent="0.25">
      <c r="A20" s="33"/>
      <c r="B20" s="726" t="s">
        <v>73</v>
      </c>
      <c r="C20" s="727"/>
      <c r="D20" s="92">
        <v>16422818.74</v>
      </c>
      <c r="E20" s="92">
        <v>15461306.939999999</v>
      </c>
      <c r="F20" s="92">
        <f t="shared" ref="F20:F41" si="4">D20-E20</f>
        <v>961511.80000000075</v>
      </c>
      <c r="G20" s="92">
        <v>198909.6</v>
      </c>
      <c r="H20" s="92">
        <v>113000</v>
      </c>
      <c r="I20" s="92">
        <f t="shared" ref="I20:I70" si="5">G20-H20</f>
        <v>85909.6</v>
      </c>
      <c r="J20" s="92">
        <v>525000</v>
      </c>
      <c r="K20" s="92">
        <v>510000</v>
      </c>
      <c r="L20" s="92">
        <f>J20-K20</f>
        <v>15000</v>
      </c>
      <c r="M20" s="92">
        <v>7214.2</v>
      </c>
      <c r="N20" s="92">
        <v>7214.2</v>
      </c>
      <c r="O20" s="92">
        <f>M20-N20</f>
        <v>0</v>
      </c>
      <c r="P20" s="92">
        <v>2283836.7999999998</v>
      </c>
      <c r="Q20" s="92">
        <v>2283836.7999999998</v>
      </c>
      <c r="R20" s="92">
        <f t="shared" ref="R20" si="6">P20-Q20</f>
        <v>0</v>
      </c>
      <c r="S20" s="92">
        <f t="shared" ref="S20" si="7">F20+I20+L20+O20+R20</f>
        <v>1062421.4000000008</v>
      </c>
      <c r="T20" s="92"/>
      <c r="U20" s="152">
        <f t="shared" si="2"/>
        <v>19437779.34</v>
      </c>
      <c r="V20" s="152">
        <f t="shared" si="2"/>
        <v>18375357.939999998</v>
      </c>
      <c r="W20" s="46"/>
      <c r="X20" s="46"/>
      <c r="Y20" s="80">
        <f>M20+P20</f>
        <v>2291051</v>
      </c>
    </row>
    <row r="21" spans="1:25" ht="36" customHeight="1" thickBot="1" x14ac:dyDescent="0.3">
      <c r="A21" s="33"/>
      <c r="B21" s="730" t="s">
        <v>74</v>
      </c>
      <c r="C21" s="731"/>
      <c r="D21" s="75">
        <v>111364037.03</v>
      </c>
      <c r="E21" s="75">
        <v>111360708.43000001</v>
      </c>
      <c r="F21" s="75">
        <f t="shared" si="4"/>
        <v>3328.5999999940395</v>
      </c>
      <c r="G21" s="75">
        <v>218750</v>
      </c>
      <c r="H21" s="75">
        <v>218750</v>
      </c>
      <c r="I21" s="75">
        <f t="shared" si="5"/>
        <v>0</v>
      </c>
      <c r="J21" s="75"/>
      <c r="K21" s="75"/>
      <c r="L21" s="75"/>
      <c r="M21" s="75"/>
      <c r="N21" s="75"/>
      <c r="O21" s="75"/>
      <c r="P21" s="75"/>
      <c r="Q21" s="75"/>
      <c r="R21" s="75">
        <f t="shared" si="0"/>
        <v>0</v>
      </c>
      <c r="S21" s="75">
        <f t="shared" si="1"/>
        <v>3328.5999999940395</v>
      </c>
      <c r="T21" s="75"/>
      <c r="U21" s="152">
        <f t="shared" si="2"/>
        <v>111582787.03</v>
      </c>
      <c r="V21" s="152">
        <f t="shared" si="2"/>
        <v>111579458.43000001</v>
      </c>
      <c r="W21" s="46"/>
      <c r="X21" s="46"/>
      <c r="Y21" s="46"/>
    </row>
    <row r="22" spans="1:25" ht="15.75" customHeight="1" thickBot="1" x14ac:dyDescent="0.3">
      <c r="A22" s="66"/>
      <c r="B22" s="94" t="s">
        <v>23</v>
      </c>
      <c r="C22" s="61"/>
      <c r="D22" s="88">
        <f>D20+D21</f>
        <v>127786855.77</v>
      </c>
      <c r="E22" s="76">
        <f>E20+E21</f>
        <v>126822015.37</v>
      </c>
      <c r="F22" s="77">
        <f>D22-E22</f>
        <v>964840.39999999106</v>
      </c>
      <c r="G22" s="76">
        <f>G20+G21</f>
        <v>417659.6</v>
      </c>
      <c r="H22" s="76">
        <f>H20+H21</f>
        <v>331750</v>
      </c>
      <c r="I22" s="77">
        <f t="shared" ref="I22:Q22" si="8">I20</f>
        <v>85909.6</v>
      </c>
      <c r="J22" s="76">
        <f t="shared" si="8"/>
        <v>525000</v>
      </c>
      <c r="K22" s="76">
        <f t="shared" si="8"/>
        <v>510000</v>
      </c>
      <c r="L22" s="77">
        <f t="shared" si="8"/>
        <v>15000</v>
      </c>
      <c r="M22" s="76">
        <f t="shared" si="8"/>
        <v>7214.2</v>
      </c>
      <c r="N22" s="76">
        <f t="shared" si="8"/>
        <v>7214.2</v>
      </c>
      <c r="O22" s="77">
        <f t="shared" si="8"/>
        <v>0</v>
      </c>
      <c r="P22" s="76">
        <f t="shared" si="8"/>
        <v>2283836.7999999998</v>
      </c>
      <c r="Q22" s="76">
        <f t="shared" si="8"/>
        <v>2283836.7999999998</v>
      </c>
      <c r="R22" s="77">
        <f t="shared" ref="R22" si="9">R19+R21</f>
        <v>0</v>
      </c>
      <c r="S22" s="104">
        <f>S20+S21</f>
        <v>1065749.9999999949</v>
      </c>
      <c r="T22" s="60"/>
      <c r="U22" s="200">
        <f>D22+G22+J22+M22+P22</f>
        <v>131020566.36999999</v>
      </c>
      <c r="V22" s="200">
        <f>E22+H22+K22+N22+Q22</f>
        <v>129954816.37</v>
      </c>
      <c r="W22" s="46">
        <f>S22/(D22+G22+J22+M22+P22)</f>
        <v>8.1342191499182946E-3</v>
      </c>
      <c r="X22" s="46"/>
      <c r="Y22" s="46">
        <f t="shared" ref="Y22:Y62" si="10">S22/(D22+G22+J22+M22)</f>
        <v>8.2785231810669716E-3</v>
      </c>
    </row>
    <row r="23" spans="1:25" ht="16.5" customHeight="1" x14ac:dyDescent="0.25">
      <c r="A23" s="33" t="s">
        <v>36</v>
      </c>
      <c r="B23" s="745" t="s">
        <v>35</v>
      </c>
      <c r="C23" s="74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52">
        <f t="shared" si="2"/>
        <v>0</v>
      </c>
      <c r="V23" s="152">
        <f t="shared" si="2"/>
        <v>0</v>
      </c>
      <c r="W23" s="46"/>
      <c r="X23" s="46"/>
      <c r="Y23" s="46"/>
    </row>
    <row r="24" spans="1:25" ht="35.25" customHeight="1" thickBot="1" x14ac:dyDescent="0.3">
      <c r="A24" s="33"/>
      <c r="B24" s="726" t="s">
        <v>73</v>
      </c>
      <c r="C24" s="727"/>
      <c r="D24" s="92">
        <v>4544483</v>
      </c>
      <c r="E24" s="92">
        <v>4058960.63</v>
      </c>
      <c r="F24" s="75">
        <f>D24-E24</f>
        <v>485522.37000000011</v>
      </c>
      <c r="G24" s="92">
        <v>499998</v>
      </c>
      <c r="H24" s="92">
        <v>474998</v>
      </c>
      <c r="I24" s="92">
        <f>G24-H24</f>
        <v>25000</v>
      </c>
      <c r="J24" s="92">
        <v>500000</v>
      </c>
      <c r="K24" s="92">
        <v>298000</v>
      </c>
      <c r="L24" s="92">
        <f>J24-K24</f>
        <v>202000</v>
      </c>
      <c r="M24" s="92"/>
      <c r="N24" s="92"/>
      <c r="O24" s="92"/>
      <c r="P24" s="92">
        <v>850000</v>
      </c>
      <c r="Q24" s="92">
        <v>850000</v>
      </c>
      <c r="R24" s="92">
        <f>P24-Q24</f>
        <v>0</v>
      </c>
      <c r="S24" s="75">
        <f t="shared" si="1"/>
        <v>712522.37000000011</v>
      </c>
      <c r="T24" s="92"/>
      <c r="U24" s="152">
        <f t="shared" si="2"/>
        <v>6394481</v>
      </c>
      <c r="V24" s="152">
        <f t="shared" si="2"/>
        <v>5681958.6299999999</v>
      </c>
      <c r="W24" s="46"/>
      <c r="X24" s="46"/>
      <c r="Y24" s="46"/>
    </row>
    <row r="25" spans="1:25" ht="34.5" customHeight="1" thickBot="1" x14ac:dyDescent="0.3">
      <c r="A25" s="33"/>
      <c r="B25" s="730" t="s">
        <v>74</v>
      </c>
      <c r="C25" s="731"/>
      <c r="D25" s="75">
        <v>3582000</v>
      </c>
      <c r="E25" s="75">
        <v>3579812.5</v>
      </c>
      <c r="F25" s="75">
        <f t="shared" si="4"/>
        <v>2187.5</v>
      </c>
      <c r="G25" s="75">
        <v>350000</v>
      </c>
      <c r="H25" s="75">
        <v>350000</v>
      </c>
      <c r="I25" s="75">
        <f t="shared" si="5"/>
        <v>0</v>
      </c>
      <c r="J25" s="75"/>
      <c r="K25" s="75"/>
      <c r="L25" s="75"/>
      <c r="M25" s="75"/>
      <c r="N25" s="75"/>
      <c r="O25" s="75"/>
      <c r="P25" s="75"/>
      <c r="Q25" s="75"/>
      <c r="R25" s="75">
        <f t="shared" si="0"/>
        <v>0</v>
      </c>
      <c r="S25" s="75">
        <f t="shared" si="1"/>
        <v>2187.5</v>
      </c>
      <c r="T25" s="75"/>
      <c r="U25" s="152">
        <f t="shared" si="2"/>
        <v>3932000</v>
      </c>
      <c r="V25" s="152">
        <f t="shared" si="2"/>
        <v>3929812.5</v>
      </c>
      <c r="W25" s="46"/>
      <c r="X25" s="46"/>
      <c r="Y25" s="46"/>
    </row>
    <row r="26" spans="1:25" ht="15.75" thickBot="1" x14ac:dyDescent="0.3">
      <c r="A26" s="66"/>
      <c r="B26" s="64" t="s">
        <v>23</v>
      </c>
      <c r="C26" s="59"/>
      <c r="D26" s="76">
        <f>D24+D25</f>
        <v>8126483</v>
      </c>
      <c r="E26" s="76">
        <f>E24+E25</f>
        <v>7638773.1299999999</v>
      </c>
      <c r="F26" s="77">
        <f>D26-E26</f>
        <v>487709.87000000011</v>
      </c>
      <c r="G26" s="76">
        <f>SUM(G24:G25)</f>
        <v>849998</v>
      </c>
      <c r="H26" s="76">
        <f>SUM(H24:H25)</f>
        <v>824998</v>
      </c>
      <c r="I26" s="77">
        <f>I24+I25</f>
        <v>25000</v>
      </c>
      <c r="J26" s="76">
        <f>J24+J25</f>
        <v>500000</v>
      </c>
      <c r="K26" s="76">
        <f t="shared" ref="K26:L26" si="11">K24+K25</f>
        <v>298000</v>
      </c>
      <c r="L26" s="77">
        <f t="shared" si="11"/>
        <v>202000</v>
      </c>
      <c r="M26" s="76">
        <f t="shared" ref="M26:O26" si="12">M23+M25</f>
        <v>0</v>
      </c>
      <c r="N26" s="76">
        <f t="shared" si="12"/>
        <v>0</v>
      </c>
      <c r="O26" s="77">
        <f t="shared" si="12"/>
        <v>0</v>
      </c>
      <c r="P26" s="76">
        <f>P24</f>
        <v>850000</v>
      </c>
      <c r="Q26" s="76">
        <f>Q24</f>
        <v>850000</v>
      </c>
      <c r="R26" s="77">
        <f>R24</f>
        <v>0</v>
      </c>
      <c r="S26" s="104">
        <f>S24+S25</f>
        <v>714709.87000000011</v>
      </c>
      <c r="T26" s="193"/>
      <c r="U26" s="200">
        <f t="shared" si="2"/>
        <v>10326481</v>
      </c>
      <c r="V26" s="200">
        <f t="shared" si="2"/>
        <v>9611771.129999999</v>
      </c>
      <c r="W26" s="46">
        <f>S26/(D26+G26+J26+M26+P26)</f>
        <v>6.9211367357379552E-2</v>
      </c>
      <c r="X26" s="46"/>
      <c r="Y26" s="108">
        <f>S26/(D26+G26+J26+M26)</f>
        <v>7.5419332344991791E-2</v>
      </c>
    </row>
    <row r="27" spans="1:25" x14ac:dyDescent="0.25">
      <c r="A27" s="33" t="s">
        <v>42</v>
      </c>
      <c r="B27" s="745" t="s">
        <v>41</v>
      </c>
      <c r="C27" s="746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52">
        <f t="shared" si="2"/>
        <v>0</v>
      </c>
      <c r="V27" s="152">
        <f t="shared" si="2"/>
        <v>0</v>
      </c>
      <c r="W27" s="46"/>
      <c r="X27" s="46"/>
      <c r="Y27" s="46"/>
    </row>
    <row r="28" spans="1:25" ht="34.5" customHeight="1" x14ac:dyDescent="0.25">
      <c r="A28" s="33"/>
      <c r="B28" s="726" t="s">
        <v>73</v>
      </c>
      <c r="C28" s="727"/>
      <c r="D28" s="92"/>
      <c r="E28" s="92"/>
      <c r="F28" s="92">
        <f t="shared" si="4"/>
        <v>0</v>
      </c>
      <c r="G28" s="92"/>
      <c r="H28" s="92"/>
      <c r="I28" s="92">
        <f>G28-H28</f>
        <v>0</v>
      </c>
      <c r="J28" s="92">
        <v>2683200</v>
      </c>
      <c r="K28" s="92">
        <v>2683200</v>
      </c>
      <c r="L28" s="92">
        <f>J28-K28</f>
        <v>0</v>
      </c>
      <c r="M28" s="92"/>
      <c r="N28" s="92"/>
      <c r="O28" s="92"/>
      <c r="P28" s="92">
        <v>4130620.9</v>
      </c>
      <c r="Q28" s="92">
        <v>4130620.9</v>
      </c>
      <c r="R28" s="92">
        <f t="shared" si="0"/>
        <v>0</v>
      </c>
      <c r="S28" s="92">
        <f t="shared" si="1"/>
        <v>0</v>
      </c>
      <c r="T28" s="92"/>
      <c r="U28" s="152">
        <f>D28+G28+J28+M28+P28</f>
        <v>6813820.9000000004</v>
      </c>
      <c r="V28" s="152">
        <f>E28+H28+K28+N28+Q28</f>
        <v>6813820.9000000004</v>
      </c>
      <c r="W28" s="46"/>
      <c r="X28" s="46"/>
      <c r="Y28" s="46"/>
    </row>
    <row r="29" spans="1:25" ht="33.75" customHeight="1" thickBot="1" x14ac:dyDescent="0.3">
      <c r="A29" s="33"/>
      <c r="B29" s="730" t="s">
        <v>74</v>
      </c>
      <c r="C29" s="731"/>
      <c r="D29" s="92">
        <v>44576206.710000001</v>
      </c>
      <c r="E29" s="92">
        <v>43161330.609999999</v>
      </c>
      <c r="F29" s="92">
        <f t="shared" si="4"/>
        <v>1414876.1000000015</v>
      </c>
      <c r="G29" s="92"/>
      <c r="H29" s="92"/>
      <c r="I29" s="75">
        <f>G29-H29</f>
        <v>0</v>
      </c>
      <c r="J29" s="75"/>
      <c r="K29" s="75"/>
      <c r="L29" s="75"/>
      <c r="M29" s="92"/>
      <c r="N29" s="92"/>
      <c r="O29" s="92">
        <f>M29-N29</f>
        <v>0</v>
      </c>
      <c r="P29" s="75"/>
      <c r="Q29" s="75"/>
      <c r="R29" s="75">
        <f t="shared" si="0"/>
        <v>0</v>
      </c>
      <c r="S29" s="75">
        <f t="shared" si="1"/>
        <v>1414876.1000000015</v>
      </c>
      <c r="T29" s="75"/>
      <c r="U29" s="152">
        <f>D29+G29+J29+M29+P29</f>
        <v>44576206.710000001</v>
      </c>
      <c r="V29" s="152">
        <f>E29+H29+K29+N29+Q29</f>
        <v>43161330.609999999</v>
      </c>
      <c r="W29" s="46"/>
      <c r="X29" s="46"/>
      <c r="Y29" s="46"/>
    </row>
    <row r="30" spans="1:25" ht="15.75" thickBot="1" x14ac:dyDescent="0.3">
      <c r="A30" s="66"/>
      <c r="B30" s="95" t="s">
        <v>23</v>
      </c>
      <c r="C30" s="59"/>
      <c r="D30" s="76">
        <f>SUM(D27:D29)</f>
        <v>44576206.710000001</v>
      </c>
      <c r="E30" s="76">
        <f t="shared" ref="E30:S30" si="13">SUM(E27:E29)</f>
        <v>43161330.609999999</v>
      </c>
      <c r="F30" s="77">
        <f t="shared" si="4"/>
        <v>1414876.1000000015</v>
      </c>
      <c r="G30" s="76">
        <f>SUM(G27:G29)</f>
        <v>0</v>
      </c>
      <c r="H30" s="76">
        <f>SUM(H27:H29)</f>
        <v>0</v>
      </c>
      <c r="I30" s="77">
        <f t="shared" si="13"/>
        <v>0</v>
      </c>
      <c r="J30" s="76">
        <f t="shared" si="13"/>
        <v>2683200</v>
      </c>
      <c r="K30" s="76">
        <f t="shared" si="13"/>
        <v>2683200</v>
      </c>
      <c r="L30" s="77">
        <f t="shared" si="13"/>
        <v>0</v>
      </c>
      <c r="M30" s="76">
        <f t="shared" si="13"/>
        <v>0</v>
      </c>
      <c r="N30" s="76">
        <f t="shared" si="13"/>
        <v>0</v>
      </c>
      <c r="O30" s="77">
        <f t="shared" si="13"/>
        <v>0</v>
      </c>
      <c r="P30" s="76">
        <f t="shared" si="13"/>
        <v>4130620.9</v>
      </c>
      <c r="Q30" s="76">
        <f t="shared" si="13"/>
        <v>4130620.9</v>
      </c>
      <c r="R30" s="111">
        <f t="shared" si="13"/>
        <v>0</v>
      </c>
      <c r="S30" s="104">
        <f t="shared" si="13"/>
        <v>1414876.1000000015</v>
      </c>
      <c r="T30" s="96"/>
      <c r="U30" s="200">
        <f t="shared" si="2"/>
        <v>51390027.609999999</v>
      </c>
      <c r="V30" s="200">
        <f t="shared" si="2"/>
        <v>49975151.509999998</v>
      </c>
      <c r="W30" s="46">
        <f>S30/(D30+G30+J30+M30+P30)</f>
        <v>2.7532114026821038E-2</v>
      </c>
      <c r="X30" s="46"/>
      <c r="Y30" s="46">
        <f t="shared" si="10"/>
        <v>2.9938507452752606E-2</v>
      </c>
    </row>
    <row r="31" spans="1:25" x14ac:dyDescent="0.25">
      <c r="A31" s="33" t="s">
        <v>45</v>
      </c>
      <c r="B31" s="745" t="s">
        <v>43</v>
      </c>
      <c r="C31" s="746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109"/>
      <c r="S31" s="78"/>
      <c r="T31" s="110"/>
      <c r="U31" s="152">
        <f t="shared" si="2"/>
        <v>0</v>
      </c>
      <c r="V31" s="152">
        <f t="shared" si="2"/>
        <v>0</v>
      </c>
      <c r="W31" s="46"/>
      <c r="X31" s="46"/>
      <c r="Y31" s="46"/>
    </row>
    <row r="32" spans="1:25" ht="33" customHeight="1" x14ac:dyDescent="0.25">
      <c r="A32" s="33"/>
      <c r="B32" s="726" t="s">
        <v>73</v>
      </c>
      <c r="C32" s="727"/>
      <c r="D32" s="92">
        <v>475000</v>
      </c>
      <c r="E32" s="92">
        <v>451250</v>
      </c>
      <c r="F32" s="92">
        <f t="shared" ref="F32" si="14">D32-E32</f>
        <v>23750</v>
      </c>
      <c r="G32" s="92">
        <v>450001.15</v>
      </c>
      <c r="H32" s="92">
        <v>445000</v>
      </c>
      <c r="I32" s="92">
        <f t="shared" si="5"/>
        <v>5001.1500000000233</v>
      </c>
      <c r="J32" s="92">
        <v>1200000</v>
      </c>
      <c r="K32" s="92">
        <v>1100000</v>
      </c>
      <c r="L32" s="92">
        <f>J32-K32</f>
        <v>100000</v>
      </c>
      <c r="M32" s="92">
        <v>214152.9</v>
      </c>
      <c r="N32" s="92">
        <v>213459.94</v>
      </c>
      <c r="O32" s="92">
        <f>M32-N32</f>
        <v>692.95999999999185</v>
      </c>
      <c r="P32" s="92">
        <v>1233854.3999999999</v>
      </c>
      <c r="Q32" s="92">
        <v>1233854.3999999999</v>
      </c>
      <c r="R32" s="112">
        <f t="shared" ref="R32" si="15">P32-Q32</f>
        <v>0</v>
      </c>
      <c r="S32" s="92">
        <f>F32+I32+L32+O32+R32</f>
        <v>129444.11000000002</v>
      </c>
      <c r="T32" s="114"/>
      <c r="U32" s="215">
        <f t="shared" si="2"/>
        <v>3573008.4499999997</v>
      </c>
      <c r="V32" s="215">
        <f t="shared" si="2"/>
        <v>3443564.34</v>
      </c>
      <c r="W32" s="46"/>
      <c r="X32" s="46"/>
      <c r="Y32" s="218">
        <f>M32+P32</f>
        <v>1448007.2999999998</v>
      </c>
    </row>
    <row r="33" spans="1:25" ht="39" customHeight="1" thickBot="1" x14ac:dyDescent="0.3">
      <c r="A33" s="33"/>
      <c r="B33" s="730" t="s">
        <v>74</v>
      </c>
      <c r="C33" s="731"/>
      <c r="D33" s="75">
        <v>8583042.8000000007</v>
      </c>
      <c r="E33" s="75">
        <v>8583042.8000000007</v>
      </c>
      <c r="F33" s="75">
        <f t="shared" si="4"/>
        <v>0</v>
      </c>
      <c r="G33" s="75">
        <v>1150000</v>
      </c>
      <c r="H33" s="75">
        <v>1044000</v>
      </c>
      <c r="I33" s="75">
        <f t="shared" si="5"/>
        <v>106000</v>
      </c>
      <c r="J33" s="75"/>
      <c r="K33" s="75"/>
      <c r="L33" s="75"/>
      <c r="M33" s="75"/>
      <c r="N33" s="75"/>
      <c r="O33" s="75"/>
      <c r="P33" s="75"/>
      <c r="Q33" s="75"/>
      <c r="R33" s="113">
        <f t="shared" si="0"/>
        <v>0</v>
      </c>
      <c r="S33" s="75">
        <f>F33+I33+L33+O33+R33</f>
        <v>106000</v>
      </c>
      <c r="T33" s="115"/>
      <c r="U33" s="215">
        <f t="shared" si="2"/>
        <v>9733042.8000000007</v>
      </c>
      <c r="V33" s="215">
        <f t="shared" si="2"/>
        <v>9627042.8000000007</v>
      </c>
      <c r="W33" s="46"/>
      <c r="X33" s="46"/>
      <c r="Y33" s="46"/>
    </row>
    <row r="34" spans="1:25" ht="15.75" thickBot="1" x14ac:dyDescent="0.3">
      <c r="A34" s="93"/>
      <c r="B34" s="94" t="s">
        <v>23</v>
      </c>
      <c r="C34" s="61"/>
      <c r="D34" s="88">
        <f>SUM(D31:D33)</f>
        <v>9058042.8000000007</v>
      </c>
      <c r="E34" s="88">
        <f t="shared" ref="E34:F34" si="16">SUM(E31:E33)</f>
        <v>9034292.8000000007</v>
      </c>
      <c r="F34" s="77">
        <f t="shared" si="16"/>
        <v>23750</v>
      </c>
      <c r="G34" s="76">
        <f t="shared" ref="G34:R34" si="17">G32+G33</f>
        <v>1600001.15</v>
      </c>
      <c r="H34" s="76">
        <f t="shared" si="17"/>
        <v>1489000</v>
      </c>
      <c r="I34" s="77">
        <f t="shared" si="17"/>
        <v>111001.15000000002</v>
      </c>
      <c r="J34" s="76">
        <f t="shared" si="17"/>
        <v>1200000</v>
      </c>
      <c r="K34" s="76">
        <f t="shared" si="17"/>
        <v>1100000</v>
      </c>
      <c r="L34" s="77">
        <f t="shared" si="17"/>
        <v>100000</v>
      </c>
      <c r="M34" s="76">
        <f t="shared" si="17"/>
        <v>214152.9</v>
      </c>
      <c r="N34" s="76">
        <f t="shared" si="17"/>
        <v>213459.94</v>
      </c>
      <c r="O34" s="77">
        <f t="shared" si="17"/>
        <v>692.95999999999185</v>
      </c>
      <c r="P34" s="76">
        <f t="shared" si="17"/>
        <v>1233854.3999999999</v>
      </c>
      <c r="Q34" s="76">
        <f t="shared" si="17"/>
        <v>1233854.3999999999</v>
      </c>
      <c r="R34" s="76">
        <f t="shared" si="17"/>
        <v>0</v>
      </c>
      <c r="S34" s="104">
        <f>F34+I34+L34+O34+R34</f>
        <v>235444.11000000002</v>
      </c>
      <c r="T34" s="60"/>
      <c r="U34" s="200">
        <f t="shared" si="2"/>
        <v>13306051.250000002</v>
      </c>
      <c r="V34" s="200">
        <f t="shared" si="2"/>
        <v>13070607.140000001</v>
      </c>
      <c r="W34" s="46">
        <f>S34/(D34+G34+J34+M34+P34)</f>
        <v>1.7694513990392152E-2</v>
      </c>
      <c r="X34" s="46"/>
      <c r="Y34" s="46">
        <f>S34/(D34+G34+J34+M34)</f>
        <v>1.9503004542209729E-2</v>
      </c>
    </row>
    <row r="35" spans="1:25" x14ac:dyDescent="0.25">
      <c r="A35" s="33" t="s">
        <v>46</v>
      </c>
      <c r="B35" s="745" t="s">
        <v>44</v>
      </c>
      <c r="C35" s="746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52">
        <f t="shared" si="2"/>
        <v>0</v>
      </c>
      <c r="V35" s="152">
        <f t="shared" si="2"/>
        <v>0</v>
      </c>
      <c r="W35" s="46"/>
      <c r="X35" s="46"/>
      <c r="Y35" s="46"/>
    </row>
    <row r="36" spans="1:25" ht="33.75" customHeight="1" x14ac:dyDescent="0.25">
      <c r="A36" s="33"/>
      <c r="B36" s="726" t="s">
        <v>73</v>
      </c>
      <c r="C36" s="727"/>
      <c r="D36" s="92">
        <v>15742588</v>
      </c>
      <c r="E36" s="92">
        <v>14276621.32</v>
      </c>
      <c r="F36" s="92">
        <f t="shared" ref="F36" si="18">D36-E36</f>
        <v>1465966.6799999997</v>
      </c>
      <c r="G36" s="92"/>
      <c r="H36" s="92"/>
      <c r="I36" s="92">
        <f t="shared" ref="I36" si="19">G36-H36</f>
        <v>0</v>
      </c>
      <c r="J36" s="289"/>
      <c r="K36" s="92"/>
      <c r="L36" s="92"/>
      <c r="M36" s="92">
        <v>141709.5</v>
      </c>
      <c r="N36" s="92">
        <v>141709.5</v>
      </c>
      <c r="O36" s="92">
        <f>M36-N36</f>
        <v>0</v>
      </c>
      <c r="P36" s="92">
        <v>1100000</v>
      </c>
      <c r="Q36" s="92">
        <v>1100000</v>
      </c>
      <c r="R36" s="92">
        <f t="shared" ref="R36" si="20">P36-Q36</f>
        <v>0</v>
      </c>
      <c r="S36" s="92">
        <f t="shared" ref="S36" si="21">F36+I36+L36+O36+R36</f>
        <v>1465966.6799999997</v>
      </c>
      <c r="T36" s="92"/>
      <c r="U36" s="152">
        <f>D36+G36+J36+M36+P36</f>
        <v>16984297.5</v>
      </c>
      <c r="V36" s="152">
        <f t="shared" si="2"/>
        <v>15518330.82</v>
      </c>
      <c r="W36" s="46"/>
      <c r="X36" s="46"/>
      <c r="Y36" s="218">
        <f>M36+P36</f>
        <v>1241709.5</v>
      </c>
    </row>
    <row r="37" spans="1:25" ht="36.75" customHeight="1" thickBot="1" x14ac:dyDescent="0.3">
      <c r="A37" s="33"/>
      <c r="B37" s="724" t="s">
        <v>74</v>
      </c>
      <c r="C37" s="725"/>
      <c r="D37" s="75">
        <v>7402960</v>
      </c>
      <c r="E37" s="75">
        <v>7402960</v>
      </c>
      <c r="F37" s="75">
        <f t="shared" si="4"/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>
        <f t="shared" si="0"/>
        <v>0</v>
      </c>
      <c r="S37" s="75">
        <f t="shared" si="1"/>
        <v>0</v>
      </c>
      <c r="T37" s="75"/>
      <c r="U37" s="215">
        <f t="shared" si="2"/>
        <v>7402960</v>
      </c>
      <c r="V37" s="215">
        <f t="shared" si="2"/>
        <v>7402960</v>
      </c>
      <c r="W37" s="46"/>
      <c r="X37" s="46"/>
      <c r="Y37" s="46"/>
    </row>
    <row r="38" spans="1:25" ht="13.5" customHeight="1" thickBot="1" x14ac:dyDescent="0.3">
      <c r="A38" s="66"/>
      <c r="B38" s="64" t="s">
        <v>23</v>
      </c>
      <c r="C38" s="94"/>
      <c r="D38" s="76">
        <f>SUM(D35:D37)</f>
        <v>23145548</v>
      </c>
      <c r="E38" s="76">
        <f t="shared" ref="E38:R38" si="22">SUM(E35:E37)</f>
        <v>21679581.32</v>
      </c>
      <c r="F38" s="77">
        <f>D38-E38</f>
        <v>1465966.6799999997</v>
      </c>
      <c r="G38" s="76">
        <f t="shared" si="22"/>
        <v>0</v>
      </c>
      <c r="H38" s="76">
        <f t="shared" si="22"/>
        <v>0</v>
      </c>
      <c r="I38" s="77">
        <f t="shared" si="22"/>
        <v>0</v>
      </c>
      <c r="J38" s="288">
        <f t="shared" si="22"/>
        <v>0</v>
      </c>
      <c r="K38" s="76">
        <f t="shared" si="22"/>
        <v>0</v>
      </c>
      <c r="L38" s="77">
        <f t="shared" si="22"/>
        <v>0</v>
      </c>
      <c r="M38" s="76">
        <f t="shared" si="22"/>
        <v>141709.5</v>
      </c>
      <c r="N38" s="76">
        <f t="shared" si="22"/>
        <v>141709.5</v>
      </c>
      <c r="O38" s="77">
        <f t="shared" si="22"/>
        <v>0</v>
      </c>
      <c r="P38" s="76">
        <f t="shared" si="22"/>
        <v>1100000</v>
      </c>
      <c r="Q38" s="76">
        <f t="shared" si="22"/>
        <v>1100000</v>
      </c>
      <c r="R38" s="77">
        <f t="shared" si="22"/>
        <v>0</v>
      </c>
      <c r="S38" s="104">
        <f>SUM(S35:S37)</f>
        <v>1465966.6799999997</v>
      </c>
      <c r="T38" s="60"/>
      <c r="U38" s="200">
        <f>D38+G38+J38+M38+P38</f>
        <v>24387257.5</v>
      </c>
      <c r="V38" s="200">
        <f t="shared" si="2"/>
        <v>22921290.82</v>
      </c>
      <c r="W38" s="46">
        <f t="shared" ref="W38" si="23">S38/(D38+G38+J38+M38+P38)</f>
        <v>6.0111994142842823E-2</v>
      </c>
      <c r="X38" s="46"/>
      <c r="Y38" s="46">
        <f t="shared" si="10"/>
        <v>6.2951452312493203E-2</v>
      </c>
    </row>
    <row r="39" spans="1:25" x14ac:dyDescent="0.25">
      <c r="A39" s="33" t="s">
        <v>49</v>
      </c>
      <c r="B39" s="745" t="s">
        <v>47</v>
      </c>
      <c r="C39" s="746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52">
        <f t="shared" si="2"/>
        <v>0</v>
      </c>
      <c r="V39" s="152">
        <f t="shared" si="2"/>
        <v>0</v>
      </c>
      <c r="W39" s="46"/>
      <c r="X39" s="46"/>
      <c r="Y39" s="46"/>
    </row>
    <row r="40" spans="1:25" ht="33.75" customHeight="1" x14ac:dyDescent="0.25">
      <c r="A40" s="33"/>
      <c r="B40" s="726" t="s">
        <v>73</v>
      </c>
      <c r="C40" s="727"/>
      <c r="D40" s="92">
        <v>1947318.59</v>
      </c>
      <c r="E40" s="92">
        <v>1644942.05</v>
      </c>
      <c r="F40" s="92">
        <f t="shared" si="4"/>
        <v>302376.54000000004</v>
      </c>
      <c r="G40" s="92">
        <v>263361</v>
      </c>
      <c r="H40" s="92">
        <v>220000</v>
      </c>
      <c r="I40" s="92">
        <f>G40-H40</f>
        <v>43361</v>
      </c>
      <c r="J40" s="91"/>
      <c r="K40" s="91"/>
      <c r="L40" s="91"/>
      <c r="M40" s="91"/>
      <c r="N40" s="91"/>
      <c r="O40" s="91"/>
      <c r="P40" s="92">
        <v>1500000</v>
      </c>
      <c r="Q40" s="92">
        <v>1500000</v>
      </c>
      <c r="R40" s="91">
        <f t="shared" ref="R40" si="24">P40-Q40</f>
        <v>0</v>
      </c>
      <c r="S40" s="91">
        <f t="shared" ref="S40" si="25">F40+I40+L40+O40+R40</f>
        <v>345737.54000000004</v>
      </c>
      <c r="T40" s="91"/>
      <c r="U40" s="215">
        <f t="shared" si="2"/>
        <v>3710679.59</v>
      </c>
      <c r="V40" s="215">
        <f t="shared" si="2"/>
        <v>3364942.05</v>
      </c>
      <c r="W40" s="46"/>
      <c r="X40" s="46"/>
      <c r="Y40" s="46"/>
    </row>
    <row r="41" spans="1:25" ht="34.5" customHeight="1" thickBot="1" x14ac:dyDescent="0.3">
      <c r="A41" s="33"/>
      <c r="B41" s="724" t="s">
        <v>74</v>
      </c>
      <c r="C41" s="725"/>
      <c r="D41" s="75">
        <v>10664658.939999999</v>
      </c>
      <c r="E41" s="75">
        <v>10645847.67</v>
      </c>
      <c r="F41" s="75">
        <f t="shared" si="4"/>
        <v>18811.269999999553</v>
      </c>
      <c r="G41" s="75"/>
      <c r="H41" s="75"/>
      <c r="I41" s="92">
        <f>G41-H41</f>
        <v>0</v>
      </c>
      <c r="J41" s="75"/>
      <c r="K41" s="75"/>
      <c r="L41" s="75"/>
      <c r="M41" s="75"/>
      <c r="N41" s="75"/>
      <c r="O41" s="75"/>
      <c r="P41" s="75"/>
      <c r="Q41" s="75"/>
      <c r="R41" s="75">
        <f t="shared" si="0"/>
        <v>0</v>
      </c>
      <c r="S41" s="75">
        <f t="shared" si="1"/>
        <v>18811.269999999553</v>
      </c>
      <c r="T41" s="75"/>
      <c r="U41" s="215">
        <f t="shared" si="2"/>
        <v>10664658.939999999</v>
      </c>
      <c r="V41" s="215">
        <f t="shared" si="2"/>
        <v>10645847.67</v>
      </c>
      <c r="W41" s="46"/>
      <c r="X41" s="46"/>
      <c r="Y41" s="46"/>
    </row>
    <row r="42" spans="1:25" ht="15.75" thickBot="1" x14ac:dyDescent="0.3">
      <c r="A42" s="66"/>
      <c r="B42" s="94" t="s">
        <v>23</v>
      </c>
      <c r="C42" s="64"/>
      <c r="D42" s="76">
        <f>SUM(D39:D41)</f>
        <v>12611977.529999999</v>
      </c>
      <c r="E42" s="76">
        <f t="shared" ref="E42:S42" si="26">SUM(E39:E41)</f>
        <v>12290789.720000001</v>
      </c>
      <c r="F42" s="77">
        <f>D42-E42</f>
        <v>321187.80999999866</v>
      </c>
      <c r="G42" s="76">
        <f t="shared" si="26"/>
        <v>263361</v>
      </c>
      <c r="H42" s="76">
        <f t="shared" si="26"/>
        <v>220000</v>
      </c>
      <c r="I42" s="77">
        <f t="shared" si="26"/>
        <v>43361</v>
      </c>
      <c r="J42" s="76">
        <f t="shared" si="26"/>
        <v>0</v>
      </c>
      <c r="K42" s="76">
        <f t="shared" si="26"/>
        <v>0</v>
      </c>
      <c r="L42" s="77">
        <f t="shared" si="26"/>
        <v>0</v>
      </c>
      <c r="M42" s="76">
        <f t="shared" si="26"/>
        <v>0</v>
      </c>
      <c r="N42" s="76">
        <f t="shared" si="26"/>
        <v>0</v>
      </c>
      <c r="O42" s="77">
        <f t="shared" si="26"/>
        <v>0</v>
      </c>
      <c r="P42" s="76">
        <f t="shared" si="26"/>
        <v>1500000</v>
      </c>
      <c r="Q42" s="76">
        <f t="shared" si="26"/>
        <v>1500000</v>
      </c>
      <c r="R42" s="77">
        <f t="shared" si="26"/>
        <v>0</v>
      </c>
      <c r="S42" s="104">
        <f t="shared" si="26"/>
        <v>364548.80999999959</v>
      </c>
      <c r="T42" s="96"/>
      <c r="U42" s="200">
        <f t="shared" si="2"/>
        <v>14375338.529999999</v>
      </c>
      <c r="V42" s="200">
        <f t="shared" si="2"/>
        <v>14010789.720000001</v>
      </c>
      <c r="W42" s="46">
        <f t="shared" ref="W42:W66" si="27">S42/(D42+G42+J42+M42+P42)</f>
        <v>2.5359320007610257E-2</v>
      </c>
      <c r="X42" s="46"/>
      <c r="Y42" s="46">
        <f t="shared" si="10"/>
        <v>2.8313726210040056E-2</v>
      </c>
    </row>
    <row r="43" spans="1:25" ht="15.75" customHeight="1" x14ac:dyDescent="0.25">
      <c r="A43" s="33" t="s">
        <v>50</v>
      </c>
      <c r="B43" s="745" t="s">
        <v>48</v>
      </c>
      <c r="C43" s="74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152">
        <f t="shared" si="2"/>
        <v>0</v>
      </c>
      <c r="V43" s="152">
        <f t="shared" si="2"/>
        <v>0</v>
      </c>
      <c r="W43" s="46"/>
      <c r="X43" s="46"/>
      <c r="Y43" s="46"/>
    </row>
    <row r="44" spans="1:25" ht="34.5" customHeight="1" x14ac:dyDescent="0.25">
      <c r="A44" s="33"/>
      <c r="B44" s="726" t="s">
        <v>73</v>
      </c>
      <c r="C44" s="727"/>
      <c r="D44" s="92">
        <v>10623551.09</v>
      </c>
      <c r="E44" s="92">
        <v>10267167.439999999</v>
      </c>
      <c r="F44" s="92">
        <f t="shared" ref="F44:F45" si="28">D44-E44</f>
        <v>356383.65000000037</v>
      </c>
      <c r="G44" s="92"/>
      <c r="H44" s="92"/>
      <c r="I44" s="92">
        <f t="shared" ref="I44:I45" si="29">G44-H44</f>
        <v>0</v>
      </c>
      <c r="J44" s="92">
        <v>623333.32999999996</v>
      </c>
      <c r="K44" s="92">
        <v>623333</v>
      </c>
      <c r="L44" s="92">
        <f>J44-K44</f>
        <v>0.32999999995809048</v>
      </c>
      <c r="M44" s="92"/>
      <c r="N44" s="92"/>
      <c r="O44" s="92"/>
      <c r="P44" s="92">
        <v>5169038.8</v>
      </c>
      <c r="Q44" s="92">
        <v>5169038.8</v>
      </c>
      <c r="R44" s="92">
        <f t="shared" ref="R44:R45" si="30">P44-Q44</f>
        <v>0</v>
      </c>
      <c r="S44" s="92">
        <f t="shared" ref="S44:S45" si="31">F44+I44+L44+O44+R44</f>
        <v>356383.98000000033</v>
      </c>
      <c r="T44" s="92"/>
      <c r="U44" s="215">
        <f t="shared" si="2"/>
        <v>16415923.219999999</v>
      </c>
      <c r="V44" s="215">
        <f t="shared" si="2"/>
        <v>16059539.239999998</v>
      </c>
      <c r="W44" s="46"/>
      <c r="X44" s="46"/>
      <c r="Y44" s="46"/>
    </row>
    <row r="45" spans="1:25" ht="33.75" customHeight="1" thickBot="1" x14ac:dyDescent="0.3">
      <c r="A45" s="33"/>
      <c r="B45" s="724" t="s">
        <v>74</v>
      </c>
      <c r="C45" s="725"/>
      <c r="D45" s="75">
        <v>11929194.390000001</v>
      </c>
      <c r="E45" s="75">
        <v>11897466.789999999</v>
      </c>
      <c r="F45" s="75">
        <f t="shared" si="28"/>
        <v>31727.60000000149</v>
      </c>
      <c r="G45" s="75"/>
      <c r="H45" s="75"/>
      <c r="I45" s="75">
        <f t="shared" si="29"/>
        <v>0</v>
      </c>
      <c r="J45" s="75"/>
      <c r="K45" s="75"/>
      <c r="L45" s="75"/>
      <c r="M45" s="75"/>
      <c r="N45" s="75"/>
      <c r="O45" s="75"/>
      <c r="P45" s="75"/>
      <c r="Q45" s="75"/>
      <c r="R45" s="75">
        <f t="shared" si="30"/>
        <v>0</v>
      </c>
      <c r="S45" s="75">
        <f t="shared" si="31"/>
        <v>31727.60000000149</v>
      </c>
      <c r="T45" s="75"/>
      <c r="U45" s="215">
        <f t="shared" si="2"/>
        <v>11929194.390000001</v>
      </c>
      <c r="V45" s="215">
        <f t="shared" si="2"/>
        <v>11897466.789999999</v>
      </c>
      <c r="W45" s="46"/>
      <c r="X45" s="46"/>
      <c r="Y45" s="46"/>
    </row>
    <row r="46" spans="1:25" ht="15.75" thickBot="1" x14ac:dyDescent="0.3">
      <c r="A46" s="66"/>
      <c r="B46" s="94" t="s">
        <v>23</v>
      </c>
      <c r="C46" s="64"/>
      <c r="D46" s="76">
        <f>SUM(D43:D45)</f>
        <v>22552745.48</v>
      </c>
      <c r="E46" s="76">
        <f t="shared" ref="E46:S46" si="32">SUM(E43:E45)</f>
        <v>22164634.229999997</v>
      </c>
      <c r="F46" s="77">
        <f>D46-E46</f>
        <v>388111.25000000373</v>
      </c>
      <c r="G46" s="76">
        <f t="shared" si="32"/>
        <v>0</v>
      </c>
      <c r="H46" s="76">
        <f t="shared" si="32"/>
        <v>0</v>
      </c>
      <c r="I46" s="77">
        <f t="shared" si="32"/>
        <v>0</v>
      </c>
      <c r="J46" s="76">
        <f t="shared" si="32"/>
        <v>623333.32999999996</v>
      </c>
      <c r="K46" s="76">
        <f t="shared" si="32"/>
        <v>623333</v>
      </c>
      <c r="L46" s="77">
        <f t="shared" si="32"/>
        <v>0.32999999995809048</v>
      </c>
      <c r="M46" s="76">
        <f t="shared" si="32"/>
        <v>0</v>
      </c>
      <c r="N46" s="76">
        <f t="shared" si="32"/>
        <v>0</v>
      </c>
      <c r="O46" s="77">
        <f t="shared" si="32"/>
        <v>0</v>
      </c>
      <c r="P46" s="76">
        <f t="shared" si="32"/>
        <v>5169038.8</v>
      </c>
      <c r="Q46" s="76">
        <f t="shared" si="32"/>
        <v>5169038.8</v>
      </c>
      <c r="R46" s="77">
        <f t="shared" si="32"/>
        <v>0</v>
      </c>
      <c r="S46" s="104">
        <f t="shared" si="32"/>
        <v>388111.58000000182</v>
      </c>
      <c r="T46" s="96"/>
      <c r="U46" s="200">
        <f t="shared" si="2"/>
        <v>28345117.609999999</v>
      </c>
      <c r="V46" s="200">
        <f t="shared" si="2"/>
        <v>27957006.029999997</v>
      </c>
      <c r="W46" s="46">
        <f t="shared" si="27"/>
        <v>1.3692360897563474E-2</v>
      </c>
      <c r="X46" s="46"/>
      <c r="Y46" s="46">
        <f t="shared" si="10"/>
        <v>1.6746214197051301E-2</v>
      </c>
    </row>
    <row r="47" spans="1:25" x14ac:dyDescent="0.25">
      <c r="A47" s="33" t="s">
        <v>51</v>
      </c>
      <c r="B47" s="745" t="s">
        <v>52</v>
      </c>
      <c r="C47" s="74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152">
        <f t="shared" si="2"/>
        <v>0</v>
      </c>
      <c r="V47" s="152">
        <f t="shared" si="2"/>
        <v>0</v>
      </c>
      <c r="W47" s="46"/>
      <c r="X47" s="46"/>
      <c r="Y47" s="46"/>
    </row>
    <row r="48" spans="1:25" ht="36.75" customHeight="1" x14ac:dyDescent="0.25">
      <c r="A48" s="33"/>
      <c r="B48" s="726" t="s">
        <v>73</v>
      </c>
      <c r="C48" s="727"/>
      <c r="D48" s="92">
        <v>637307</v>
      </c>
      <c r="E48" s="92">
        <v>486879.76</v>
      </c>
      <c r="F48" s="92">
        <f t="shared" ref="F48:F49" si="33">D48-E48</f>
        <v>150427.24</v>
      </c>
      <c r="G48" s="92">
        <v>848731</v>
      </c>
      <c r="H48" s="92">
        <v>674450</v>
      </c>
      <c r="I48" s="92">
        <f t="shared" ref="I48:I49" si="34">G48-H48</f>
        <v>174281</v>
      </c>
      <c r="J48" s="92"/>
      <c r="K48" s="92"/>
      <c r="L48" s="92"/>
      <c r="M48" s="92">
        <v>92968.26</v>
      </c>
      <c r="N48" s="92">
        <v>92968.26</v>
      </c>
      <c r="O48" s="92">
        <f>M48-N48</f>
        <v>0</v>
      </c>
      <c r="P48" s="92">
        <f>370000+1218.12</f>
        <v>371218.12</v>
      </c>
      <c r="Q48" s="92">
        <f>370000+1218.12</f>
        <v>371218.12</v>
      </c>
      <c r="R48" s="92">
        <f t="shared" ref="R48:R49" si="35">P48-Q48</f>
        <v>0</v>
      </c>
      <c r="S48" s="92">
        <f t="shared" ref="S48:S49" si="36">F48+I48+L48+O48+R48</f>
        <v>324708.24</v>
      </c>
      <c r="T48" s="92"/>
      <c r="U48" s="216">
        <f t="shared" si="2"/>
        <v>1950224.38</v>
      </c>
      <c r="V48" s="216">
        <f t="shared" si="2"/>
        <v>1625516.1400000001</v>
      </c>
      <c r="W48" s="46"/>
      <c r="X48" s="46"/>
      <c r="Y48" s="46"/>
    </row>
    <row r="49" spans="1:26" ht="35.25" customHeight="1" thickBot="1" x14ac:dyDescent="0.3">
      <c r="A49" s="33"/>
      <c r="B49" s="724" t="s">
        <v>74</v>
      </c>
      <c r="C49" s="725"/>
      <c r="D49" s="75">
        <v>1895449.53</v>
      </c>
      <c r="E49" s="75">
        <v>1895449.53</v>
      </c>
      <c r="F49" s="92">
        <f t="shared" si="33"/>
        <v>0</v>
      </c>
      <c r="G49" s="75">
        <v>187500</v>
      </c>
      <c r="H49" s="75">
        <v>185000</v>
      </c>
      <c r="I49" s="92">
        <f t="shared" si="34"/>
        <v>2500</v>
      </c>
      <c r="J49" s="75"/>
      <c r="K49" s="75"/>
      <c r="L49" s="75"/>
      <c r="M49" s="75"/>
      <c r="N49" s="75"/>
      <c r="O49" s="75"/>
      <c r="P49" s="75"/>
      <c r="Q49" s="75"/>
      <c r="R49" s="75">
        <f t="shared" si="35"/>
        <v>0</v>
      </c>
      <c r="S49" s="75">
        <f t="shared" si="36"/>
        <v>2500</v>
      </c>
      <c r="T49" s="75"/>
      <c r="U49" s="216">
        <f t="shared" ref="U49:V70" si="37">D49+G49+J49+M49+P49</f>
        <v>2082949.53</v>
      </c>
      <c r="V49" s="216">
        <f t="shared" si="37"/>
        <v>2080449.53</v>
      </c>
      <c r="W49" s="46"/>
      <c r="X49" s="46"/>
      <c r="Y49" s="46"/>
      <c r="Z49" s="218">
        <f>M48+P48</f>
        <v>464186.38</v>
      </c>
    </row>
    <row r="50" spans="1:26" ht="15.75" thickBot="1" x14ac:dyDescent="0.3">
      <c r="A50" s="66"/>
      <c r="B50" s="94" t="s">
        <v>23</v>
      </c>
      <c r="C50" s="64"/>
      <c r="D50" s="76">
        <f>SUM(D47:D49)</f>
        <v>2532756.5300000003</v>
      </c>
      <c r="E50" s="76">
        <f t="shared" ref="E50:S50" si="38">SUM(E47:E49)</f>
        <v>2382329.29</v>
      </c>
      <c r="F50" s="77">
        <f t="shared" si="38"/>
        <v>150427.24</v>
      </c>
      <c r="G50" s="76">
        <f t="shared" si="38"/>
        <v>1036231</v>
      </c>
      <c r="H50" s="76">
        <f t="shared" si="38"/>
        <v>859450</v>
      </c>
      <c r="I50" s="77">
        <f t="shared" si="38"/>
        <v>176781</v>
      </c>
      <c r="J50" s="76">
        <f t="shared" si="38"/>
        <v>0</v>
      </c>
      <c r="K50" s="76">
        <f t="shared" si="38"/>
        <v>0</v>
      </c>
      <c r="L50" s="77">
        <f t="shared" si="38"/>
        <v>0</v>
      </c>
      <c r="M50" s="76">
        <f t="shared" si="38"/>
        <v>92968.26</v>
      </c>
      <c r="N50" s="76">
        <f t="shared" si="38"/>
        <v>92968.26</v>
      </c>
      <c r="O50" s="77">
        <f t="shared" si="38"/>
        <v>0</v>
      </c>
      <c r="P50" s="76">
        <f t="shared" si="38"/>
        <v>371218.12</v>
      </c>
      <c r="Q50" s="76">
        <f t="shared" si="38"/>
        <v>371218.12</v>
      </c>
      <c r="R50" s="77">
        <f t="shared" si="38"/>
        <v>0</v>
      </c>
      <c r="S50" s="104">
        <f t="shared" si="38"/>
        <v>327208.24</v>
      </c>
      <c r="T50" s="96"/>
      <c r="U50" s="200">
        <f t="shared" si="37"/>
        <v>4033173.91</v>
      </c>
      <c r="V50" s="200">
        <f t="shared" si="37"/>
        <v>3705965.67</v>
      </c>
      <c r="W50" s="46">
        <f t="shared" si="27"/>
        <v>8.1129216666979767E-2</v>
      </c>
      <c r="X50" s="46"/>
      <c r="Y50" s="46">
        <f t="shared" si="10"/>
        <v>8.9353410790358009E-2</v>
      </c>
    </row>
    <row r="51" spans="1:26" x14ac:dyDescent="0.25">
      <c r="A51" s="33" t="s">
        <v>53</v>
      </c>
      <c r="B51" s="745" t="s">
        <v>54</v>
      </c>
      <c r="C51" s="74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152">
        <f t="shared" si="37"/>
        <v>0</v>
      </c>
      <c r="V51" s="152">
        <f t="shared" si="37"/>
        <v>0</v>
      </c>
      <c r="W51" s="46"/>
      <c r="X51" s="46"/>
      <c r="Y51" s="46"/>
    </row>
    <row r="52" spans="1:26" ht="33.75" customHeight="1" x14ac:dyDescent="0.25">
      <c r="A52" s="33"/>
      <c r="B52" s="726" t="s">
        <v>73</v>
      </c>
      <c r="C52" s="727"/>
      <c r="D52" s="290">
        <f>600000-600000</f>
        <v>0</v>
      </c>
      <c r="E52" s="92"/>
      <c r="F52" s="92"/>
      <c r="G52" s="92"/>
      <c r="H52" s="92"/>
      <c r="I52" s="92"/>
      <c r="J52" s="92"/>
      <c r="K52" s="92"/>
      <c r="L52" s="92"/>
      <c r="M52" s="92">
        <v>1863641.36</v>
      </c>
      <c r="N52" s="92">
        <v>1863641.36</v>
      </c>
      <c r="O52" s="92">
        <f>M52-N52</f>
        <v>0</v>
      </c>
      <c r="P52" s="92">
        <f>1200000+4612266.96</f>
        <v>5812266.96</v>
      </c>
      <c r="Q52" s="92">
        <f>1200000+4612266.96</f>
        <v>5812266.96</v>
      </c>
      <c r="R52" s="92">
        <f t="shared" ref="R52:R53" si="39">P52-Q52</f>
        <v>0</v>
      </c>
      <c r="S52" s="92">
        <f t="shared" ref="S52:S53" si="40">F52+I52+L52+O52+R52</f>
        <v>0</v>
      </c>
      <c r="T52" s="92"/>
      <c r="U52" s="215">
        <f t="shared" si="37"/>
        <v>7675908.3200000003</v>
      </c>
      <c r="V52" s="215">
        <f t="shared" si="37"/>
        <v>7675908.3200000003</v>
      </c>
      <c r="W52" s="46"/>
      <c r="X52" s="46"/>
      <c r="Y52" s="46"/>
      <c r="Z52" s="218">
        <f>M52+P52</f>
        <v>7675908.3200000003</v>
      </c>
    </row>
    <row r="53" spans="1:26" ht="36" customHeight="1" thickBot="1" x14ac:dyDescent="0.3">
      <c r="A53" s="33"/>
      <c r="B53" s="724" t="s">
        <v>74</v>
      </c>
      <c r="C53" s="725"/>
      <c r="D53" s="75">
        <v>11354345.4</v>
      </c>
      <c r="E53" s="75">
        <v>11354345.4</v>
      </c>
      <c r="F53" s="75">
        <f t="shared" ref="F53" si="41">D53-E53</f>
        <v>0</v>
      </c>
      <c r="G53" s="75"/>
      <c r="H53" s="75"/>
      <c r="I53" s="75">
        <f t="shared" ref="I53" si="42">G53-H53</f>
        <v>0</v>
      </c>
      <c r="J53" s="75"/>
      <c r="K53" s="75"/>
      <c r="L53" s="75"/>
      <c r="M53" s="75"/>
      <c r="N53" s="75"/>
      <c r="O53" s="75"/>
      <c r="P53" s="75"/>
      <c r="Q53" s="75"/>
      <c r="R53" s="75">
        <f t="shared" si="39"/>
        <v>0</v>
      </c>
      <c r="S53" s="75">
        <f t="shared" si="40"/>
        <v>0</v>
      </c>
      <c r="T53" s="75"/>
      <c r="U53" s="215">
        <f t="shared" si="37"/>
        <v>11354345.4</v>
      </c>
      <c r="V53" s="215">
        <f t="shared" si="37"/>
        <v>11354345.4</v>
      </c>
      <c r="W53" s="46"/>
      <c r="X53" s="46"/>
      <c r="Y53" s="46"/>
    </row>
    <row r="54" spans="1:26" ht="15.75" thickBot="1" x14ac:dyDescent="0.3">
      <c r="A54" s="66"/>
      <c r="B54" s="94" t="s">
        <v>23</v>
      </c>
      <c r="C54" s="64"/>
      <c r="D54" s="76">
        <f>SUM(D51:D53)</f>
        <v>11354345.4</v>
      </c>
      <c r="E54" s="76">
        <f t="shared" ref="E54:R54" si="43">SUM(E51:E53)</f>
        <v>11354345.4</v>
      </c>
      <c r="F54" s="77">
        <f t="shared" si="43"/>
        <v>0</v>
      </c>
      <c r="G54" s="76">
        <f t="shared" si="43"/>
        <v>0</v>
      </c>
      <c r="H54" s="76">
        <f t="shared" si="43"/>
        <v>0</v>
      </c>
      <c r="I54" s="77">
        <f t="shared" si="43"/>
        <v>0</v>
      </c>
      <c r="J54" s="76">
        <f t="shared" si="43"/>
        <v>0</v>
      </c>
      <c r="K54" s="76">
        <f t="shared" si="43"/>
        <v>0</v>
      </c>
      <c r="L54" s="77">
        <f t="shared" si="43"/>
        <v>0</v>
      </c>
      <c r="M54" s="76">
        <f t="shared" si="43"/>
        <v>1863641.36</v>
      </c>
      <c r="N54" s="76">
        <f t="shared" si="43"/>
        <v>1863641.36</v>
      </c>
      <c r="O54" s="77">
        <f t="shared" si="43"/>
        <v>0</v>
      </c>
      <c r="P54" s="76">
        <f t="shared" si="43"/>
        <v>5812266.96</v>
      </c>
      <c r="Q54" s="76">
        <f t="shared" si="43"/>
        <v>5812266.96</v>
      </c>
      <c r="R54" s="77">
        <f t="shared" si="43"/>
        <v>0</v>
      </c>
      <c r="S54" s="77">
        <f>SUM(S51:S53)</f>
        <v>0</v>
      </c>
      <c r="T54" s="96"/>
      <c r="U54" s="200">
        <f t="shared" si="37"/>
        <v>19030253.719999999</v>
      </c>
      <c r="V54" s="200">
        <f t="shared" si="37"/>
        <v>19030253.719999999</v>
      </c>
      <c r="W54" s="46">
        <f>S54/(D54+G54+J54+M54+P54)</f>
        <v>0</v>
      </c>
      <c r="X54" s="46"/>
      <c r="Y54" s="46">
        <f>S54/(D54+G54+J54+M54)</f>
        <v>0</v>
      </c>
    </row>
    <row r="55" spans="1:26" x14ac:dyDescent="0.25">
      <c r="A55" s="33" t="s">
        <v>55</v>
      </c>
      <c r="B55" s="745" t="s">
        <v>56</v>
      </c>
      <c r="C55" s="74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152">
        <f t="shared" si="37"/>
        <v>0</v>
      </c>
      <c r="V55" s="152">
        <f t="shared" si="37"/>
        <v>0</v>
      </c>
      <c r="W55" s="46"/>
      <c r="X55" s="46"/>
      <c r="Y55" s="46"/>
    </row>
    <row r="56" spans="1:26" ht="30.75" customHeight="1" thickBot="1" x14ac:dyDescent="0.3">
      <c r="A56" s="33"/>
      <c r="B56" s="726" t="s">
        <v>73</v>
      </c>
      <c r="C56" s="727"/>
      <c r="D56" s="92">
        <v>984149</v>
      </c>
      <c r="E56" s="92">
        <v>930020.8</v>
      </c>
      <c r="F56" s="92">
        <f>D56-E56</f>
        <v>54128.199999999953</v>
      </c>
      <c r="G56" s="92"/>
      <c r="H56" s="92"/>
      <c r="I56" s="75">
        <f t="shared" ref="I56:I57" si="44">G56-H56</f>
        <v>0</v>
      </c>
      <c r="J56" s="92">
        <v>4301450.67</v>
      </c>
      <c r="K56" s="92">
        <v>3700000</v>
      </c>
      <c r="L56" s="92">
        <f>J56-K56</f>
        <v>601450.66999999993</v>
      </c>
      <c r="M56" s="92">
        <v>73000</v>
      </c>
      <c r="N56" s="92">
        <v>73000</v>
      </c>
      <c r="O56" s="92">
        <f>M56-N56</f>
        <v>0</v>
      </c>
      <c r="P56" s="92">
        <v>390000</v>
      </c>
      <c r="Q56" s="92">
        <v>390000</v>
      </c>
      <c r="R56" s="92">
        <f t="shared" ref="R56:R57" si="45">P56-Q56</f>
        <v>0</v>
      </c>
      <c r="S56" s="92">
        <f t="shared" ref="S56:S57" si="46">F56+I56+L56+O56+R56</f>
        <v>655578.86999999988</v>
      </c>
      <c r="T56" s="92"/>
      <c r="U56" s="215">
        <f t="shared" si="37"/>
        <v>5748599.6699999999</v>
      </c>
      <c r="V56" s="215">
        <f t="shared" si="37"/>
        <v>5093020.8</v>
      </c>
      <c r="W56" s="46"/>
      <c r="X56" s="46"/>
      <c r="Y56" s="46"/>
    </row>
    <row r="57" spans="1:26" ht="33.75" customHeight="1" thickBot="1" x14ac:dyDescent="0.3">
      <c r="A57" s="33"/>
      <c r="B57" s="724" t="s">
        <v>74</v>
      </c>
      <c r="C57" s="725"/>
      <c r="D57" s="75">
        <v>3067985.37</v>
      </c>
      <c r="E57" s="75">
        <v>2882510.54</v>
      </c>
      <c r="F57" s="92">
        <f>D57-E57</f>
        <v>185474.83000000007</v>
      </c>
      <c r="G57" s="75"/>
      <c r="H57" s="75"/>
      <c r="I57" s="75">
        <f t="shared" si="44"/>
        <v>0</v>
      </c>
      <c r="J57" s="75"/>
      <c r="K57" s="75"/>
      <c r="L57" s="75"/>
      <c r="M57" s="75"/>
      <c r="N57" s="75"/>
      <c r="O57" s="75"/>
      <c r="P57" s="75"/>
      <c r="Q57" s="75"/>
      <c r="R57" s="75">
        <f t="shared" si="45"/>
        <v>0</v>
      </c>
      <c r="S57" s="75">
        <f t="shared" si="46"/>
        <v>185474.83000000007</v>
      </c>
      <c r="T57" s="75"/>
      <c r="U57" s="215">
        <f t="shared" si="37"/>
        <v>3067985.37</v>
      </c>
      <c r="V57" s="215">
        <f t="shared" si="37"/>
        <v>2882510.54</v>
      </c>
      <c r="W57" s="46"/>
      <c r="X57" s="46"/>
      <c r="Y57" s="46"/>
    </row>
    <row r="58" spans="1:26" ht="15.75" thickBot="1" x14ac:dyDescent="0.3">
      <c r="A58" s="66"/>
      <c r="B58" s="64" t="s">
        <v>23</v>
      </c>
      <c r="C58" s="64"/>
      <c r="D58" s="76">
        <f>SUM(D55:D57)</f>
        <v>4052134.37</v>
      </c>
      <c r="E58" s="76">
        <f t="shared" ref="E58:N58" si="47">SUM(E55:E57)</f>
        <v>3812531.34</v>
      </c>
      <c r="F58" s="77">
        <f t="shared" si="47"/>
        <v>239603.03000000003</v>
      </c>
      <c r="G58" s="76">
        <f t="shared" si="47"/>
        <v>0</v>
      </c>
      <c r="H58" s="76">
        <f t="shared" si="47"/>
        <v>0</v>
      </c>
      <c r="I58" s="77">
        <f t="shared" si="47"/>
        <v>0</v>
      </c>
      <c r="J58" s="76">
        <f t="shared" si="47"/>
        <v>4301450.67</v>
      </c>
      <c r="K58" s="76">
        <f t="shared" si="47"/>
        <v>3700000</v>
      </c>
      <c r="L58" s="77">
        <f t="shared" si="47"/>
        <v>601450.66999999993</v>
      </c>
      <c r="M58" s="76">
        <f t="shared" si="47"/>
        <v>73000</v>
      </c>
      <c r="N58" s="76">
        <f t="shared" si="47"/>
        <v>73000</v>
      </c>
      <c r="O58" s="77">
        <f>SUM(O55:O57)</f>
        <v>0</v>
      </c>
      <c r="P58" s="76">
        <f t="shared" ref="P58:R58" si="48">SUM(P55:P57)</f>
        <v>390000</v>
      </c>
      <c r="Q58" s="76">
        <f t="shared" si="48"/>
        <v>390000</v>
      </c>
      <c r="R58" s="77">
        <f t="shared" si="48"/>
        <v>0</v>
      </c>
      <c r="S58" s="104">
        <f>SUM(S55:S57)</f>
        <v>841053.7</v>
      </c>
      <c r="T58" s="97"/>
      <c r="U58" s="200">
        <f t="shared" si="37"/>
        <v>8816585.0399999991</v>
      </c>
      <c r="V58" s="200">
        <f t="shared" si="37"/>
        <v>7975531.3399999999</v>
      </c>
      <c r="W58" s="108">
        <f>S58/(D58+G58+J58+M58+P58)</f>
        <v>9.5394497550266924E-2</v>
      </c>
      <c r="X58" s="46"/>
      <c r="Y58" s="108">
        <f>S58/(D58+G58+J58+M58)</f>
        <v>9.9809554642553047E-2</v>
      </c>
    </row>
    <row r="59" spans="1:26" x14ac:dyDescent="0.25">
      <c r="A59" s="33" t="s">
        <v>57</v>
      </c>
      <c r="B59" s="745" t="s">
        <v>58</v>
      </c>
      <c r="C59" s="74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152">
        <f t="shared" si="37"/>
        <v>0</v>
      </c>
      <c r="V59" s="152">
        <f t="shared" si="37"/>
        <v>0</v>
      </c>
      <c r="W59" s="46"/>
      <c r="X59" s="46"/>
      <c r="Y59" s="46"/>
    </row>
    <row r="60" spans="1:26" ht="33" customHeight="1" x14ac:dyDescent="0.25">
      <c r="A60" s="33"/>
      <c r="B60" s="726" t="s">
        <v>73</v>
      </c>
      <c r="C60" s="727"/>
      <c r="D60" s="289">
        <f>109458294.98-2203344-2809263.6</f>
        <v>104445687.38000001</v>
      </c>
      <c r="E60" s="92">
        <v>101312316.73999999</v>
      </c>
      <c r="F60" s="292">
        <f>D60-E60</f>
        <v>3133370.6400000155</v>
      </c>
      <c r="G60" s="92">
        <v>1195998.69</v>
      </c>
      <c r="H60" s="92">
        <v>1009000</v>
      </c>
      <c r="I60" s="92">
        <f t="shared" ref="I60:I61" si="49">G60-H60</f>
        <v>186998.68999999994</v>
      </c>
      <c r="J60" s="92"/>
      <c r="K60" s="92"/>
      <c r="L60" s="92">
        <f>J60-K60</f>
        <v>0</v>
      </c>
      <c r="M60" s="92">
        <v>1675176.15</v>
      </c>
      <c r="N60" s="92">
        <v>1675176.15</v>
      </c>
      <c r="O60" s="92">
        <f>M60-N60</f>
        <v>0</v>
      </c>
      <c r="P60" s="92">
        <v>3186848.63</v>
      </c>
      <c r="Q60" s="92">
        <v>3186848.63</v>
      </c>
      <c r="R60" s="92">
        <f t="shared" ref="R60:R61" si="50">P60-Q60</f>
        <v>0</v>
      </c>
      <c r="S60" s="92">
        <f>F60+I60+L60+O60+R60</f>
        <v>3320369.3300000154</v>
      </c>
      <c r="T60" s="92"/>
      <c r="U60" s="215">
        <f t="shared" si="37"/>
        <v>110503710.85000001</v>
      </c>
      <c r="V60" s="215">
        <f t="shared" si="37"/>
        <v>107183341.52</v>
      </c>
      <c r="W60" s="46"/>
      <c r="X60" s="46"/>
      <c r="Y60" s="46"/>
      <c r="Z60" s="218">
        <f>M60+P60</f>
        <v>4862024.7799999993</v>
      </c>
    </row>
    <row r="61" spans="1:26" ht="34.5" customHeight="1" thickBot="1" x14ac:dyDescent="0.3">
      <c r="A61" s="33"/>
      <c r="B61" s="724" t="s">
        <v>74</v>
      </c>
      <c r="C61" s="725"/>
      <c r="D61" s="75">
        <v>29730565.600000001</v>
      </c>
      <c r="E61" s="75">
        <v>29721310.079999998</v>
      </c>
      <c r="F61" s="75">
        <f t="shared" ref="F61" si="51">D61-E61</f>
        <v>9255.5200000032783</v>
      </c>
      <c r="G61" s="75"/>
      <c r="H61" s="75"/>
      <c r="I61" s="75">
        <f t="shared" si="49"/>
        <v>0</v>
      </c>
      <c r="J61" s="75"/>
      <c r="K61" s="75"/>
      <c r="L61" s="75"/>
      <c r="M61" s="75"/>
      <c r="N61" s="75"/>
      <c r="O61" s="75"/>
      <c r="P61" s="75"/>
      <c r="Q61" s="75"/>
      <c r="R61" s="75">
        <f t="shared" si="50"/>
        <v>0</v>
      </c>
      <c r="S61" s="75">
        <f t="shared" ref="S61" si="52">F61+I61+L61+O61+R61</f>
        <v>9255.5200000032783</v>
      </c>
      <c r="T61" s="75"/>
      <c r="U61" s="215">
        <f t="shared" si="37"/>
        <v>29730565.600000001</v>
      </c>
      <c r="V61" s="215">
        <f t="shared" si="37"/>
        <v>29721310.079999998</v>
      </c>
      <c r="W61" s="46"/>
      <c r="X61" s="46"/>
      <c r="Y61" s="46"/>
    </row>
    <row r="62" spans="1:26" ht="15.75" thickBot="1" x14ac:dyDescent="0.3">
      <c r="A62" s="66"/>
      <c r="B62" s="94" t="s">
        <v>23</v>
      </c>
      <c r="C62" s="64"/>
      <c r="D62" s="76">
        <f>SUM(D59:D61)</f>
        <v>134176252.98000002</v>
      </c>
      <c r="E62" s="76">
        <f t="shared" ref="E62:S62" si="53">SUM(E59:E61)</f>
        <v>131033626.81999999</v>
      </c>
      <c r="F62" s="104">
        <f>SUM(F59:F61)</f>
        <v>3142626.1600000188</v>
      </c>
      <c r="G62" s="76">
        <f t="shared" si="53"/>
        <v>1195998.69</v>
      </c>
      <c r="H62" s="76">
        <f t="shared" si="53"/>
        <v>1009000</v>
      </c>
      <c r="I62" s="77">
        <f t="shared" si="53"/>
        <v>186998.68999999994</v>
      </c>
      <c r="J62" s="76">
        <f t="shared" si="53"/>
        <v>0</v>
      </c>
      <c r="K62" s="76">
        <f t="shared" si="53"/>
        <v>0</v>
      </c>
      <c r="L62" s="77">
        <f t="shared" si="53"/>
        <v>0</v>
      </c>
      <c r="M62" s="76">
        <f t="shared" si="53"/>
        <v>1675176.15</v>
      </c>
      <c r="N62" s="76">
        <f t="shared" si="53"/>
        <v>1675176.15</v>
      </c>
      <c r="O62" s="77">
        <f t="shared" si="53"/>
        <v>0</v>
      </c>
      <c r="P62" s="76">
        <f t="shared" si="53"/>
        <v>3186848.63</v>
      </c>
      <c r="Q62" s="76">
        <f t="shared" si="53"/>
        <v>3186848.63</v>
      </c>
      <c r="R62" s="77">
        <f t="shared" si="53"/>
        <v>0</v>
      </c>
      <c r="S62" s="104">
        <f t="shared" si="53"/>
        <v>3329624.8500000187</v>
      </c>
      <c r="T62" s="96"/>
      <c r="U62" s="200">
        <f>D62+G62+J62+M62+P62</f>
        <v>140234276.45000002</v>
      </c>
      <c r="V62" s="200">
        <f>E62+H62+K62+N62+Q62</f>
        <v>136904651.59999999</v>
      </c>
      <c r="W62" s="46">
        <f t="shared" si="27"/>
        <v>2.3743302524095695E-2</v>
      </c>
      <c r="X62" s="46"/>
      <c r="Y62" s="46">
        <f t="shared" si="10"/>
        <v>2.4295420227610501E-2</v>
      </c>
    </row>
    <row r="63" spans="1:26" x14ac:dyDescent="0.25">
      <c r="A63" s="33" t="s">
        <v>60</v>
      </c>
      <c r="B63" s="745" t="s">
        <v>59</v>
      </c>
      <c r="C63" s="74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152">
        <f t="shared" si="37"/>
        <v>0</v>
      </c>
      <c r="V63" s="152">
        <f t="shared" si="37"/>
        <v>0</v>
      </c>
      <c r="W63" s="80">
        <f>U62-V62</f>
        <v>3329624.8500000238</v>
      </c>
      <c r="X63" s="46"/>
      <c r="Y63" s="46"/>
    </row>
    <row r="64" spans="1:26" ht="33.75" customHeight="1" x14ac:dyDescent="0.25">
      <c r="A64" s="33"/>
      <c r="B64" s="726" t="s">
        <v>73</v>
      </c>
      <c r="C64" s="727"/>
      <c r="D64" s="92">
        <v>14607602.08</v>
      </c>
      <c r="E64" s="92">
        <v>9954621.5500000007</v>
      </c>
      <c r="F64" s="92">
        <f>D64-E64</f>
        <v>4652980.5299999993</v>
      </c>
      <c r="G64" s="92"/>
      <c r="H64" s="92"/>
      <c r="I64" s="92">
        <f t="shared" ref="I64:I65" si="54">G64-H64</f>
        <v>0</v>
      </c>
      <c r="J64" s="92">
        <v>1114642.92</v>
      </c>
      <c r="K64" s="92">
        <v>815104.63</v>
      </c>
      <c r="L64" s="92">
        <f>J64-K64</f>
        <v>299538.28999999992</v>
      </c>
      <c r="M64" s="92">
        <v>392691.6</v>
      </c>
      <c r="N64" s="92">
        <v>381691.6</v>
      </c>
      <c r="O64" s="92">
        <f>M64-N64</f>
        <v>11000</v>
      </c>
      <c r="P64" s="92">
        <v>1141025.79</v>
      </c>
      <c r="Q64" s="92">
        <v>1141025.79</v>
      </c>
      <c r="R64" s="92">
        <f t="shared" ref="R64:R65" si="55">P64-Q64</f>
        <v>0</v>
      </c>
      <c r="S64" s="92">
        <f>F64+I64+L64+O64+R64</f>
        <v>4963518.8199999994</v>
      </c>
      <c r="T64" s="92"/>
      <c r="U64" s="215">
        <f t="shared" si="37"/>
        <v>17255962.390000001</v>
      </c>
      <c r="V64" s="215">
        <f t="shared" si="37"/>
        <v>12292443.57</v>
      </c>
      <c r="W64" s="46"/>
      <c r="X64" s="46"/>
      <c r="Y64" s="46"/>
    </row>
    <row r="65" spans="1:25" ht="32.25" customHeight="1" thickBot="1" x14ac:dyDescent="0.3">
      <c r="A65" s="33"/>
      <c r="B65" s="724" t="s">
        <v>74</v>
      </c>
      <c r="C65" s="725"/>
      <c r="D65" s="75">
        <v>16501216.52</v>
      </c>
      <c r="E65" s="75">
        <v>16343243.58</v>
      </c>
      <c r="F65" s="75">
        <f>D65-E65</f>
        <v>157972.93999999948</v>
      </c>
      <c r="G65" s="75"/>
      <c r="H65" s="75"/>
      <c r="I65" s="75">
        <f t="shared" si="54"/>
        <v>0</v>
      </c>
      <c r="J65" s="75"/>
      <c r="K65" s="75"/>
      <c r="L65" s="75"/>
      <c r="M65" s="75"/>
      <c r="N65" s="75"/>
      <c r="O65" s="75"/>
      <c r="P65" s="75"/>
      <c r="Q65" s="75"/>
      <c r="R65" s="75">
        <f t="shared" si="55"/>
        <v>0</v>
      </c>
      <c r="S65" s="75">
        <f t="shared" ref="S65" si="56">F65+I65+L65+O65+R65</f>
        <v>157972.93999999948</v>
      </c>
      <c r="T65" s="75"/>
      <c r="U65" s="215">
        <f t="shared" si="37"/>
        <v>16501216.52</v>
      </c>
      <c r="V65" s="215">
        <f t="shared" si="37"/>
        <v>16343243.58</v>
      </c>
      <c r="W65" s="46"/>
      <c r="X65" s="46"/>
      <c r="Y65" s="46"/>
    </row>
    <row r="66" spans="1:25" ht="15.75" thickBot="1" x14ac:dyDescent="0.3">
      <c r="A66" s="66"/>
      <c r="B66" s="94" t="s">
        <v>23</v>
      </c>
      <c r="C66" s="64"/>
      <c r="D66" s="76">
        <f>SUM(D63:D65)</f>
        <v>31108818.600000001</v>
      </c>
      <c r="E66" s="76">
        <f>SUM(E63:E65)</f>
        <v>26297865.130000003</v>
      </c>
      <c r="F66" s="77">
        <f>SUM(F63:F65)</f>
        <v>4810953.4699999988</v>
      </c>
      <c r="G66" s="76">
        <f t="shared" ref="G66:R66" si="57">SUM(G63:G65)</f>
        <v>0</v>
      </c>
      <c r="H66" s="76">
        <f t="shared" si="57"/>
        <v>0</v>
      </c>
      <c r="I66" s="77">
        <f t="shared" si="57"/>
        <v>0</v>
      </c>
      <c r="J66" s="76">
        <f t="shared" si="57"/>
        <v>1114642.92</v>
      </c>
      <c r="K66" s="76">
        <f t="shared" si="57"/>
        <v>815104.63</v>
      </c>
      <c r="L66" s="77">
        <f>SUM(L63:L65)</f>
        <v>299538.28999999992</v>
      </c>
      <c r="M66" s="76">
        <f t="shared" si="57"/>
        <v>392691.6</v>
      </c>
      <c r="N66" s="76">
        <f t="shared" si="57"/>
        <v>381691.6</v>
      </c>
      <c r="O66" s="77">
        <f t="shared" si="57"/>
        <v>11000</v>
      </c>
      <c r="P66" s="76">
        <f t="shared" si="57"/>
        <v>1141025.79</v>
      </c>
      <c r="Q66" s="76">
        <f t="shared" si="57"/>
        <v>1141025.79</v>
      </c>
      <c r="R66" s="77">
        <f t="shared" si="57"/>
        <v>0</v>
      </c>
      <c r="S66" s="104">
        <f>SUM(S63:S65)</f>
        <v>5121491.7599999988</v>
      </c>
      <c r="T66" s="96"/>
      <c r="U66" s="200">
        <f t="shared" si="37"/>
        <v>33757178.910000004</v>
      </c>
      <c r="V66" s="200">
        <f t="shared" si="37"/>
        <v>28635687.150000002</v>
      </c>
      <c r="W66" s="46">
        <f t="shared" si="27"/>
        <v>0.15171563280374836</v>
      </c>
      <c r="X66" s="46"/>
      <c r="Y66" s="46">
        <f>S66/(D66+G66+J66+M66)</f>
        <v>0.15702317011933375</v>
      </c>
    </row>
    <row r="67" spans="1:25" x14ac:dyDescent="0.25">
      <c r="A67" s="33" t="s">
        <v>61</v>
      </c>
      <c r="B67" s="745" t="s">
        <v>62</v>
      </c>
      <c r="C67" s="746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52">
        <f t="shared" si="37"/>
        <v>0</v>
      </c>
      <c r="V67" s="152">
        <f t="shared" si="37"/>
        <v>0</v>
      </c>
      <c r="W67" s="46"/>
      <c r="X67" s="46"/>
      <c r="Y67" s="46"/>
    </row>
    <row r="68" spans="1:25" ht="32.25" customHeight="1" x14ac:dyDescent="0.25">
      <c r="A68" s="33"/>
      <c r="B68" s="726" t="s">
        <v>73</v>
      </c>
      <c r="C68" s="727"/>
      <c r="D68" s="289">
        <f>37122776.95-1736500.8</f>
        <v>35386276.150000006</v>
      </c>
      <c r="E68" s="92">
        <v>25983679.940000001</v>
      </c>
      <c r="F68" s="291">
        <v>9402596.2100000009</v>
      </c>
      <c r="G68" s="92"/>
      <c r="H68" s="92"/>
      <c r="I68" s="92">
        <f>G68-H68</f>
        <v>0</v>
      </c>
      <c r="J68" s="92"/>
      <c r="K68" s="92"/>
      <c r="L68" s="92"/>
      <c r="M68" s="217">
        <v>1534040.9</v>
      </c>
      <c r="N68" s="217">
        <v>1534040.9</v>
      </c>
      <c r="O68" s="92">
        <f>M68-N68</f>
        <v>0</v>
      </c>
      <c r="P68" s="217">
        <v>5761110.5999999996</v>
      </c>
      <c r="Q68" s="92">
        <v>5761110.5999999996</v>
      </c>
      <c r="R68" s="92">
        <f>P68-Q68</f>
        <v>0</v>
      </c>
      <c r="S68" s="92"/>
      <c r="T68" s="92"/>
      <c r="U68" s="215">
        <f t="shared" si="37"/>
        <v>42681427.650000006</v>
      </c>
      <c r="V68" s="215">
        <f t="shared" si="37"/>
        <v>33278831.439999998</v>
      </c>
      <c r="W68" s="46"/>
      <c r="X68" s="46"/>
      <c r="Y68" s="46"/>
    </row>
    <row r="69" spans="1:25" ht="34.5" customHeight="1" thickBot="1" x14ac:dyDescent="0.3">
      <c r="A69" s="33"/>
      <c r="B69" s="724" t="s">
        <v>74</v>
      </c>
      <c r="C69" s="725"/>
      <c r="D69" s="311">
        <v>161711879.27000001</v>
      </c>
      <c r="E69" s="75">
        <v>161672711.88</v>
      </c>
      <c r="F69" s="75">
        <f>D69-E69</f>
        <v>39167.390000015497</v>
      </c>
      <c r="G69" s="75"/>
      <c r="H69" s="75"/>
      <c r="I69" s="92">
        <f>G69-H69</f>
        <v>0</v>
      </c>
      <c r="J69" s="75"/>
      <c r="K69" s="75"/>
      <c r="L69" s="75"/>
      <c r="M69" s="75"/>
      <c r="N69" s="75"/>
      <c r="O69" s="75"/>
      <c r="P69" s="75"/>
      <c r="Q69" s="75"/>
      <c r="R69" s="75">
        <v>0</v>
      </c>
      <c r="S69" s="75"/>
      <c r="T69" s="75"/>
      <c r="U69" s="215">
        <f>D69+G69+J69+M69+P69</f>
        <v>161711879.27000001</v>
      </c>
      <c r="V69" s="215">
        <f t="shared" si="37"/>
        <v>161672711.88</v>
      </c>
      <c r="W69" s="46"/>
      <c r="X69" s="46"/>
      <c r="Y69" s="46"/>
    </row>
    <row r="70" spans="1:25" ht="15.75" thickBot="1" x14ac:dyDescent="0.3">
      <c r="A70" s="139"/>
      <c r="B70" s="140" t="s">
        <v>23</v>
      </c>
      <c r="C70" s="140"/>
      <c r="D70" s="141">
        <f>SUM(D67:D69)</f>
        <v>197098155.42000002</v>
      </c>
      <c r="E70" s="141">
        <f>SUM(E67:E69)</f>
        <v>187656391.81999999</v>
      </c>
      <c r="F70" s="142">
        <f>F68+F69</f>
        <v>9441763.6000000164</v>
      </c>
      <c r="G70" s="141">
        <f>SUM(G67:G69)</f>
        <v>0</v>
      </c>
      <c r="H70" s="141">
        <f>SUM(H67:H69)</f>
        <v>0</v>
      </c>
      <c r="I70" s="142">
        <f t="shared" si="5"/>
        <v>0</v>
      </c>
      <c r="J70" s="141"/>
      <c r="K70" s="141"/>
      <c r="L70" s="142">
        <v>0</v>
      </c>
      <c r="M70" s="141">
        <f>M68</f>
        <v>1534040.9</v>
      </c>
      <c r="N70" s="141">
        <f>N68</f>
        <v>1534040.9</v>
      </c>
      <c r="O70" s="142">
        <v>0</v>
      </c>
      <c r="P70" s="141">
        <f>SUM(P67:P69)</f>
        <v>5761110.5999999996</v>
      </c>
      <c r="Q70" s="141">
        <f>SUM(Q67:Q69)</f>
        <v>5761110.5999999996</v>
      </c>
      <c r="R70" s="142">
        <f t="shared" si="0"/>
        <v>0</v>
      </c>
      <c r="S70" s="143">
        <f>F70+I70+L70+O70+R70</f>
        <v>9441763.6000000164</v>
      </c>
      <c r="T70" s="144"/>
      <c r="U70" s="200">
        <f>D70+G70+J70+M70+P70</f>
        <v>204393306.92000002</v>
      </c>
      <c r="V70" s="200">
        <f t="shared" si="37"/>
        <v>194951543.31999999</v>
      </c>
      <c r="W70" s="46">
        <f>S70/(D70+G70+J70+M70+P70)</f>
        <v>4.6194093839362085E-2</v>
      </c>
      <c r="X70" s="46"/>
      <c r="Y70" s="46">
        <f>S70/(D70+G70+J70+M70)</f>
        <v>4.7533903238874561E-2</v>
      </c>
    </row>
    <row r="71" spans="1:25" ht="15.75" thickBot="1" x14ac:dyDescent="0.3">
      <c r="A71" s="145"/>
      <c r="B71" s="146" t="s">
        <v>63</v>
      </c>
      <c r="C71" s="147"/>
      <c r="D71" s="141">
        <f>D18+D22+D26+D30+D34+D38+D42+D46+D50+D54+D58+D62+D66+D70</f>
        <v>651657118.54999995</v>
      </c>
      <c r="E71" s="141">
        <f>E18+E22+E26+E30+E34+E38+E42+E46+E50+E54+E58+E62+E66+E70</f>
        <v>626733549.1099999</v>
      </c>
      <c r="F71" s="142">
        <f>F18+F22+F26+F30+F34+F38+F42+F46+F50+F54+F58+F62+F66+F70</f>
        <v>24923569.440000027</v>
      </c>
      <c r="G71" s="141">
        <f>G18+G22+G26+G30+G34+G38+G42+G46+G50+G54+G58+G62+G66+G70</f>
        <v>5363249.4399999995</v>
      </c>
      <c r="H71" s="141">
        <f t="shared" ref="H71:R71" si="58">H18+H22+H26+H30+H34+H38+H42+H46+H50+H54+H58+H62+H66+H70</f>
        <v>4734198</v>
      </c>
      <c r="I71" s="142">
        <f>I18+I22+I26+I30+I34+I38+I42+I46+I50+I54+I58+I62+I66+I70</f>
        <v>629051.43999999994</v>
      </c>
      <c r="J71" s="141">
        <f>J18+J22+J26+J30+J34+J42+J46+J50+J54+J58+J62+J66+J70</f>
        <v>10947626.92</v>
      </c>
      <c r="K71" s="141">
        <f>K18+K22+K26+K30+K34+K42+K46+K50+K54+K58+K62+K66+K70</f>
        <v>9729637.6300000008</v>
      </c>
      <c r="L71" s="142">
        <f>L18+L22+L26+L30+L34+L38+L42+L46+L50+L54+L58+L62+L66+L70</f>
        <v>1217989.2899999998</v>
      </c>
      <c r="M71" s="141">
        <f>M18+M22+M26+M30+M34+M38+M42+M46+M50+M54+M58+M62+M66+M70</f>
        <v>6132178.3900000006</v>
      </c>
      <c r="N71" s="141">
        <f t="shared" si="58"/>
        <v>6094238.8499999996</v>
      </c>
      <c r="O71" s="142">
        <f>O18+O22+O26+O30+O34+O38+O42+O46+O50+O54+O58+O62+O66+O70</f>
        <v>37939.539999999979</v>
      </c>
      <c r="P71" s="141">
        <f t="shared" si="58"/>
        <v>33379821</v>
      </c>
      <c r="Q71" s="141">
        <f t="shared" si="58"/>
        <v>33379821</v>
      </c>
      <c r="R71" s="142">
        <f t="shared" si="58"/>
        <v>0</v>
      </c>
      <c r="S71" s="143">
        <f>S18+S22+S26+S30+S34+S38+S42+S46+S50+S54+S58+S62+S66+S70</f>
        <v>26808549.710000031</v>
      </c>
      <c r="T71" s="144"/>
      <c r="U71" s="200">
        <f>D71+G71+J71+M71+P71</f>
        <v>707479994.29999995</v>
      </c>
      <c r="V71" s="200">
        <f>E71+H71+K71+N71+Q71</f>
        <v>680671444.58999991</v>
      </c>
      <c r="W71" s="48">
        <f>S71/(D71+G71+J71+M71+P71)</f>
        <v>3.7893014538913063E-2</v>
      </c>
      <c r="X71" s="46"/>
      <c r="Y71" s="48">
        <f>S71/(D71+G71+J71+M71)</f>
        <v>3.9769385577756285E-2</v>
      </c>
    </row>
    <row r="72" spans="1:25" x14ac:dyDescent="0.25">
      <c r="F72" s="80"/>
      <c r="I72" s="80">
        <f>G71-H71</f>
        <v>629051.43999999948</v>
      </c>
      <c r="L72" s="203">
        <f>J71-K71</f>
        <v>1217989.2899999991</v>
      </c>
      <c r="O72" s="80">
        <f>M71-N71</f>
        <v>37939.540000000969</v>
      </c>
      <c r="W72" s="153" t="s">
        <v>79</v>
      </c>
      <c r="Y72" s="26" t="s">
        <v>81</v>
      </c>
    </row>
    <row r="73" spans="1:25" x14ac:dyDescent="0.25">
      <c r="D73" s="26"/>
      <c r="E73" s="26"/>
    </row>
    <row r="74" spans="1:25" x14ac:dyDescent="0.25">
      <c r="D74" s="26" t="s">
        <v>13</v>
      </c>
      <c r="E74" s="20"/>
      <c r="F74" s="198">
        <f>D71+G71+J71+M71+P71</f>
        <v>707479994.29999995</v>
      </c>
      <c r="J74" s="26" t="s">
        <v>16</v>
      </c>
      <c r="K74" s="26"/>
      <c r="L74" s="221">
        <f>F71+I71+L71+O71+R71</f>
        <v>26808549.710000027</v>
      </c>
      <c r="N74" s="205">
        <f>M71+P71</f>
        <v>39511999.390000001</v>
      </c>
      <c r="O74" s="283">
        <f>Q71+N71</f>
        <v>39474059.850000001</v>
      </c>
      <c r="P74" s="80">
        <f>N74-O74</f>
        <v>37939.539999999106</v>
      </c>
      <c r="U74" s="2">
        <f>U71-V71</f>
        <v>26808549.710000038</v>
      </c>
    </row>
    <row r="75" spans="1:25" x14ac:dyDescent="0.25">
      <c r="D75" s="26" t="s">
        <v>12</v>
      </c>
      <c r="E75" s="26"/>
      <c r="F75" s="199">
        <f>E71+H71+K71+N71+Q71</f>
        <v>680671444.58999991</v>
      </c>
      <c r="G75" s="31" t="s">
        <v>64</v>
      </c>
      <c r="H75" s="83"/>
      <c r="M75" s="2"/>
    </row>
    <row r="76" spans="1:25" ht="15.75" thickBot="1" x14ac:dyDescent="0.3">
      <c r="D76" s="26" t="s">
        <v>15</v>
      </c>
      <c r="F76" s="198">
        <f>E16+E20+E24+E28+E32+E36+E40+E44+E48+E52+E56+E60+E64+E68+H16+H20+H24+H28+H32+H36+H40+H44+H48+H52+H56+H60+H64+H68+K16+K20+K24+K28+K32+K36+K40+K44+K48+K52+K56+K60+K64+K68</f>
        <v>206108065.42999998</v>
      </c>
      <c r="G76" s="31" t="s">
        <v>65</v>
      </c>
      <c r="H76" s="84"/>
      <c r="J76" s="26" t="s">
        <v>19</v>
      </c>
      <c r="L76" s="48">
        <f>L74/F74</f>
        <v>3.7893014538913063E-2</v>
      </c>
      <c r="S76" s="26"/>
      <c r="U76" s="2"/>
      <c r="V76" s="2">
        <f>V18+V22+V26+V30+V34+V38+V42+V46+V50+V54+V58+V62+V66+V70</f>
        <v>680671444.58999991</v>
      </c>
    </row>
    <row r="77" spans="1:25" x14ac:dyDescent="0.25">
      <c r="D77" s="26" t="s">
        <v>14</v>
      </c>
      <c r="F77" s="219">
        <f>N71</f>
        <v>6094238.8499999996</v>
      </c>
      <c r="G77" s="31" t="s">
        <v>65</v>
      </c>
      <c r="H77" s="84"/>
      <c r="L77" s="48" t="e">
        <f>L74/C81</f>
        <v>#DIV/0!</v>
      </c>
      <c r="U77" s="2"/>
    </row>
    <row r="78" spans="1:25" ht="15.75" thickBot="1" x14ac:dyDescent="0.3">
      <c r="D78" s="26" t="s">
        <v>98</v>
      </c>
      <c r="F78" s="220">
        <f>Q71</f>
        <v>33379821</v>
      </c>
      <c r="G78" s="31"/>
      <c r="H78" s="84"/>
      <c r="L78" s="48"/>
      <c r="U78" s="2"/>
    </row>
    <row r="79" spans="1:25" x14ac:dyDescent="0.25">
      <c r="D79" s="26" t="s">
        <v>96</v>
      </c>
      <c r="F79" s="219">
        <f>E21++E17+E25+E29+E33+E37+E41+E45+E49+E53+E57+E61++E65+E69</f>
        <v>433291569.31</v>
      </c>
      <c r="G79" s="31" t="s">
        <v>67</v>
      </c>
      <c r="H79" s="84"/>
      <c r="L79" s="80"/>
      <c r="N79" s="116"/>
      <c r="O79" s="116"/>
      <c r="P79" s="116" t="s">
        <v>75</v>
      </c>
      <c r="Q79" s="116" t="s">
        <v>76</v>
      </c>
    </row>
    <row r="80" spans="1:25" ht="15.75" thickBot="1" x14ac:dyDescent="0.3">
      <c r="D80" s="26" t="s">
        <v>97</v>
      </c>
      <c r="F80" s="220">
        <f>H21+H25+H29++H33+H17+H37+H41+H45+H49+H53+H57+H61+H65+H69</f>
        <v>1797750</v>
      </c>
      <c r="G80" s="2"/>
      <c r="N80" s="116"/>
      <c r="O80" s="116"/>
      <c r="P80" s="116"/>
      <c r="Q80" s="116"/>
    </row>
    <row r="81" spans="2:21" x14ac:dyDescent="0.25">
      <c r="C81" s="205"/>
      <c r="D81" s="205"/>
      <c r="E81" s="202">
        <f>F79+F80</f>
        <v>435089319.31</v>
      </c>
      <c r="F81" s="184"/>
      <c r="G81" s="184"/>
      <c r="H81" s="80">
        <f>H76+H77+H79</f>
        <v>0</v>
      </c>
      <c r="N81" s="116" t="s">
        <v>68</v>
      </c>
      <c r="O81" s="116"/>
      <c r="P81" s="116">
        <f>4+14+5+4+3+17+3+5+10+3+12+13+3+55+2+3</f>
        <v>156</v>
      </c>
      <c r="Q81" s="116">
        <f>3+11+5+4+3+13+3+4+8+3+12+10+3+52+2+3</f>
        <v>139</v>
      </c>
      <c r="R81" s="116">
        <f>65+1</f>
        <v>66</v>
      </c>
    </row>
    <row r="82" spans="2:21" ht="30" x14ac:dyDescent="0.25">
      <c r="C82" s="205">
        <f>F77+F78</f>
        <v>39474059.850000001</v>
      </c>
      <c r="D82" s="184"/>
      <c r="E82" s="205">
        <f>-F77+F78</f>
        <v>27285582.149999999</v>
      </c>
      <c r="F82" s="197">
        <f>F76+F77+F78+F79+F80</f>
        <v>680671444.58999991</v>
      </c>
      <c r="G82" s="222" t="s">
        <v>12</v>
      </c>
      <c r="H82">
        <f>H76+H77+H79</f>
        <v>0</v>
      </c>
      <c r="N82" s="117" t="s">
        <v>77</v>
      </c>
      <c r="O82" s="116"/>
      <c r="P82" s="116">
        <v>64</v>
      </c>
      <c r="Q82" s="116">
        <f>5+8+2+15+2+2+17+6+4+2</f>
        <v>63</v>
      </c>
      <c r="R82" s="116">
        <f>24</f>
        <v>24</v>
      </c>
      <c r="U82" s="80"/>
    </row>
    <row r="83" spans="2:21" x14ac:dyDescent="0.25">
      <c r="N83" s="116" t="s">
        <v>70</v>
      </c>
      <c r="O83" s="116"/>
      <c r="P83" s="116">
        <v>5</v>
      </c>
      <c r="Q83" s="116">
        <v>5</v>
      </c>
      <c r="R83" s="116">
        <v>2</v>
      </c>
    </row>
    <row r="84" spans="2:21" x14ac:dyDescent="0.25">
      <c r="N84" s="116" t="s">
        <v>91</v>
      </c>
      <c r="O84" s="116"/>
      <c r="P84" s="116">
        <v>3</v>
      </c>
      <c r="Q84" s="116">
        <v>3</v>
      </c>
      <c r="R84" s="116">
        <v>1</v>
      </c>
    </row>
    <row r="85" spans="2:21" x14ac:dyDescent="0.25">
      <c r="N85" s="116" t="s">
        <v>92</v>
      </c>
      <c r="O85" s="116"/>
      <c r="P85" s="116">
        <f>14+10+3+7+6+3+9+6+7+3+13+1+26+3+2</f>
        <v>113</v>
      </c>
      <c r="Q85" s="116">
        <f>14+10+3+7+4+3+9+6+5+3+10+1+21+1+1</f>
        <v>98</v>
      </c>
      <c r="R85" s="116">
        <f>97+1</f>
        <v>98</v>
      </c>
    </row>
    <row r="86" spans="2:21" ht="15.75" thickBot="1" x14ac:dyDescent="0.3">
      <c r="F86" s="26" t="s">
        <v>101</v>
      </c>
      <c r="G86" s="26" t="s">
        <v>102</v>
      </c>
      <c r="H86" s="153" t="s">
        <v>82</v>
      </c>
      <c r="I86" s="153" t="s">
        <v>83</v>
      </c>
      <c r="N86" s="116" t="s">
        <v>93</v>
      </c>
      <c r="O86" s="116"/>
      <c r="P86" s="116">
        <f>1+4+4+5+4+2+2+4+7+2+1+3</f>
        <v>39</v>
      </c>
      <c r="Q86" s="116">
        <f>1+4+4+5+4+2+2+4+5+2+1+3</f>
        <v>37</v>
      </c>
      <c r="R86" s="116">
        <v>37</v>
      </c>
    </row>
    <row r="87" spans="2:21" x14ac:dyDescent="0.25">
      <c r="D87" s="26" t="s">
        <v>68</v>
      </c>
      <c r="F87" s="225">
        <f>D16+D20+D24+D28+D32+D36+D40+D44+D48+D52+D56+D60+D64+D68</f>
        <v>216502747.49000004</v>
      </c>
      <c r="G87" s="225">
        <f>E16+E20+E24+E28+E32+E36+E40+E44+E48+E52+E56+E60+E64+E68</f>
        <v>193441979.79999998</v>
      </c>
      <c r="H87" s="46">
        <f>G87/$G93</f>
        <v>0.28419288239206075</v>
      </c>
      <c r="I87" s="46">
        <f>F87/F93</f>
        <v>0.30601960371220638</v>
      </c>
      <c r="J87">
        <f>64+1+1</f>
        <v>66</v>
      </c>
      <c r="K87" s="46">
        <f>J87/J93</f>
        <v>0.21926910299003322</v>
      </c>
      <c r="N87" s="116" t="s">
        <v>94</v>
      </c>
      <c r="O87" s="116"/>
      <c r="P87" s="116">
        <v>1</v>
      </c>
      <c r="Q87" s="116">
        <v>1</v>
      </c>
      <c r="R87" s="116">
        <v>1</v>
      </c>
    </row>
    <row r="88" spans="2:21" x14ac:dyDescent="0.25">
      <c r="D88" s="26" t="s">
        <v>69</v>
      </c>
      <c r="F88" s="284">
        <f>G16+G20+G24+G28+G32+G36++G40+G44+G48+G52+G56+G60+G64+G68</f>
        <v>3456999.44</v>
      </c>
      <c r="G88" s="284">
        <f>H16+H20+H24+H28+H32+H36++H40+H44+H48+H52+H56+H60+H64+H68</f>
        <v>2936448</v>
      </c>
      <c r="H88" s="46">
        <f>G88/G93</f>
        <v>4.3140461133473265E-3</v>
      </c>
      <c r="I88" s="46">
        <f>F88/F93</f>
        <v>4.8863564593376934E-3</v>
      </c>
      <c r="J88">
        <v>24</v>
      </c>
      <c r="K88" s="46">
        <f>J88/J93</f>
        <v>7.9734219269102985E-2</v>
      </c>
      <c r="P88">
        <f>SUM(P81:P87)</f>
        <v>381</v>
      </c>
      <c r="Q88">
        <f>SUM(Q81:Q87)</f>
        <v>346</v>
      </c>
      <c r="R88">
        <f>SUM(R81:R87)</f>
        <v>229</v>
      </c>
    </row>
    <row r="89" spans="2:21" x14ac:dyDescent="0.25">
      <c r="D89" s="26" t="s">
        <v>70</v>
      </c>
      <c r="F89" s="284">
        <f>J16+J20+J24++J28+J32+J36+J40+J44+J48+J52+J56+J60+J64+J68</f>
        <v>10947626.92</v>
      </c>
      <c r="G89" s="284">
        <f>K16+K20+K24++K28+K32+K36+K40+K44+K48+K52+K56+K60+K64+K68</f>
        <v>9729637.6300000008</v>
      </c>
      <c r="H89" s="46">
        <f>G89/G93</f>
        <v>1.4294176298023802E-2</v>
      </c>
      <c r="I89" s="46">
        <f>F89/F93</f>
        <v>1.5474115180927313E-2</v>
      </c>
      <c r="J89">
        <v>2</v>
      </c>
      <c r="K89" s="46">
        <f>J89/J93</f>
        <v>6.6445182724252493E-3</v>
      </c>
    </row>
    <row r="90" spans="2:21" x14ac:dyDescent="0.25">
      <c r="D90" s="26" t="s">
        <v>71</v>
      </c>
      <c r="F90" s="226">
        <f>P71+M71</f>
        <v>39511999.390000001</v>
      </c>
      <c r="G90" s="226">
        <f>Q71+N71</f>
        <v>39474059.850000001</v>
      </c>
      <c r="H90" s="46">
        <f>G90/G93</f>
        <v>5.7992824825752839E-2</v>
      </c>
      <c r="I90" s="46">
        <f>F90/F93</f>
        <v>5.5848928179367457E-2</v>
      </c>
      <c r="J90">
        <f>66+2+5</f>
        <v>73</v>
      </c>
      <c r="K90" s="46">
        <f>J90/J93</f>
        <v>0.2425249169435216</v>
      </c>
      <c r="Q90">
        <v>336</v>
      </c>
      <c r="R90">
        <f>R85+R86+R87</f>
        <v>136</v>
      </c>
    </row>
    <row r="91" spans="2:21" x14ac:dyDescent="0.25">
      <c r="D91" s="26" t="s">
        <v>99</v>
      </c>
      <c r="F91" s="285">
        <f>D17+D21+D25+D29+D33+D41+D45+D49+D53+D57+D61+D65+D69+D37</f>
        <v>435154371.06000006</v>
      </c>
      <c r="G91" s="286">
        <f>E17+E21+E25+E29+E33+E41+E45+E49+E53+E57+E61+E65+E69+E37</f>
        <v>433291569.31000006</v>
      </c>
      <c r="H91" s="46"/>
      <c r="I91" s="46"/>
      <c r="K91" s="46"/>
    </row>
    <row r="92" spans="2:21" ht="15.75" thickBot="1" x14ac:dyDescent="0.3">
      <c r="D92" s="26" t="s">
        <v>100</v>
      </c>
      <c r="F92" s="227">
        <f>G17+G21+G25+G29+G33+G37+G41+G45+G49+G53+G57+G61+G65+G69</f>
        <v>1906250</v>
      </c>
      <c r="G92" s="227">
        <f>H17+H21+H25+H29+H33+H37+H41+H45+H49+H53+H57+H61+H65+H69</f>
        <v>1797750</v>
      </c>
      <c r="H92" s="46">
        <f>G92/G93</f>
        <v>2.6411420874029295E-3</v>
      </c>
      <c r="I92" s="46">
        <f>F92/F93</f>
        <v>2.6944224788802624E-3</v>
      </c>
      <c r="J92">
        <f>131+4+1</f>
        <v>136</v>
      </c>
      <c r="K92" s="46">
        <f>J92/J93</f>
        <v>0.45182724252491696</v>
      </c>
    </row>
    <row r="93" spans="2:21" ht="15.75" thickBot="1" x14ac:dyDescent="0.3">
      <c r="F93" s="224">
        <f>SUM(F87:F92)</f>
        <v>707479994.30000007</v>
      </c>
      <c r="G93" s="223">
        <f>SUM(G87:G92)</f>
        <v>680671444.59000003</v>
      </c>
      <c r="H93" s="46">
        <f>SUM(H87:H92)</f>
        <v>0.36343507171658768</v>
      </c>
      <c r="I93" s="46">
        <f>F93/F93</f>
        <v>1</v>
      </c>
      <c r="J93" s="154">
        <f>SUM(J87:J92)</f>
        <v>301</v>
      </c>
      <c r="K93" s="46">
        <f>J93/J93</f>
        <v>1</v>
      </c>
      <c r="Q93" s="256"/>
      <c r="R93" s="58"/>
      <c r="S93" s="58"/>
      <c r="T93" s="58" t="s">
        <v>114</v>
      </c>
    </row>
    <row r="94" spans="2:21" x14ac:dyDescent="0.25">
      <c r="C94" s="206">
        <f>F87+F91</f>
        <v>651657118.55000007</v>
      </c>
      <c r="D94" s="209"/>
      <c r="E94" s="209"/>
      <c r="F94" s="206">
        <f>F87+F88+F89+F90</f>
        <v>270419373.24000001</v>
      </c>
      <c r="J94">
        <f>J87+J88+J89+J90</f>
        <v>165</v>
      </c>
      <c r="N94" s="155"/>
      <c r="O94" s="155"/>
      <c r="P94" s="156"/>
      <c r="Q94" s="17"/>
      <c r="R94" s="15"/>
      <c r="S94" s="257"/>
      <c r="T94" s="58"/>
    </row>
    <row r="95" spans="2:21" x14ac:dyDescent="0.25">
      <c r="C95" s="80">
        <f>F88+F92</f>
        <v>5363249.4399999995</v>
      </c>
      <c r="D95" s="204"/>
      <c r="E95" s="204"/>
      <c r="F95" s="80">
        <f>F74-F93</f>
        <v>0</v>
      </c>
      <c r="I95" s="209">
        <f>G87+G88+G89</f>
        <v>206108065.42999998</v>
      </c>
      <c r="J95">
        <f>J87+J88+J89</f>
        <v>92</v>
      </c>
      <c r="N95" s="155"/>
      <c r="O95" s="155"/>
      <c r="P95" s="156"/>
      <c r="Q95" s="258"/>
      <c r="R95" s="15"/>
      <c r="S95" s="257"/>
      <c r="T95" s="58"/>
    </row>
    <row r="96" spans="2:21" x14ac:dyDescent="0.25">
      <c r="B96" s="20">
        <f>F91+F92</f>
        <v>437060621.06000006</v>
      </c>
      <c r="C96" s="20" t="s">
        <v>103</v>
      </c>
      <c r="D96" s="253"/>
      <c r="E96" s="207">
        <f>G87+G88+G89</f>
        <v>206108065.42999998</v>
      </c>
      <c r="F96" s="108">
        <f>E96/F93</f>
        <v>0.2913270581367165</v>
      </c>
      <c r="G96">
        <f>J87+J88+J89</f>
        <v>92</v>
      </c>
      <c r="N96" s="155"/>
      <c r="O96" s="155"/>
      <c r="P96" s="156"/>
      <c r="Q96" s="258"/>
      <c r="R96" s="15"/>
      <c r="S96" s="257"/>
      <c r="T96" s="58"/>
    </row>
    <row r="97" spans="2:25" x14ac:dyDescent="0.25">
      <c r="B97" s="20"/>
      <c r="C97" s="20"/>
      <c r="D97" s="253"/>
      <c r="E97" s="207"/>
      <c r="F97" s="108"/>
      <c r="N97" s="155"/>
      <c r="O97" s="155"/>
      <c r="P97" s="156"/>
      <c r="Q97" s="258"/>
      <c r="R97" s="15"/>
      <c r="S97" s="15"/>
      <c r="T97" s="58"/>
    </row>
    <row r="98" spans="2:25" x14ac:dyDescent="0.25">
      <c r="B98" s="26"/>
      <c r="C98" s="26" t="s">
        <v>108</v>
      </c>
      <c r="D98" s="253"/>
      <c r="E98" s="206">
        <f>F90</f>
        <v>39511999.390000001</v>
      </c>
      <c r="F98" s="108">
        <f>E98/F93</f>
        <v>5.5848928179367457E-2</v>
      </c>
      <c r="G98">
        <f>J90</f>
        <v>73</v>
      </c>
      <c r="H98" s="208">
        <f>G90+G92</f>
        <v>41271809.850000001</v>
      </c>
      <c r="I98" s="108">
        <f>H98/G93</f>
        <v>6.0633966913155771E-2</v>
      </c>
      <c r="N98" s="15"/>
      <c r="O98" s="15"/>
      <c r="P98" s="157"/>
      <c r="Q98" s="17"/>
      <c r="R98" s="15"/>
      <c r="S98" s="15"/>
      <c r="T98" s="58"/>
    </row>
    <row r="99" spans="2:25" ht="15.75" thickBot="1" x14ac:dyDescent="0.3">
      <c r="D99" s="204"/>
      <c r="E99" s="203">
        <f>SUM(E96:E98)</f>
        <v>245620064.81999999</v>
      </c>
      <c r="F99" s="108">
        <f>E99/F93</f>
        <v>0.34717598631608398</v>
      </c>
      <c r="G99">
        <v>128</v>
      </c>
      <c r="H99" s="208">
        <f>H98+E96</f>
        <v>247379875.27999997</v>
      </c>
      <c r="N99" s="15"/>
      <c r="O99" s="19"/>
      <c r="P99" s="19"/>
      <c r="Q99" s="17"/>
      <c r="R99" s="15"/>
      <c r="S99" s="15"/>
      <c r="T99" s="58"/>
    </row>
    <row r="100" spans="2:25" ht="15.75" thickBot="1" x14ac:dyDescent="0.3">
      <c r="D100" s="162"/>
      <c r="E100" s="163" t="s">
        <v>83</v>
      </c>
      <c r="F100" s="164" t="s">
        <v>84</v>
      </c>
      <c r="G100" s="164" t="s">
        <v>85</v>
      </c>
      <c r="H100" s="165"/>
      <c r="N100" s="15"/>
      <c r="O100" s="15"/>
      <c r="P100" s="15"/>
      <c r="U100" s="266"/>
      <c r="V100" s="267" t="s">
        <v>101</v>
      </c>
      <c r="W100" s="267" t="s">
        <v>110</v>
      </c>
      <c r="X100" s="268" t="s">
        <v>114</v>
      </c>
    </row>
    <row r="101" spans="2:25" ht="19.5" customHeight="1" x14ac:dyDescent="0.25">
      <c r="C101">
        <f>1+3+22+1+1+5+5+5+2+2+3+1+5</f>
        <v>56</v>
      </c>
      <c r="D101" s="179" t="s">
        <v>86</v>
      </c>
      <c r="E101" s="228">
        <f t="shared" ref="E101:F104" si="59">F87</f>
        <v>216502747.49000004</v>
      </c>
      <c r="F101" s="167">
        <f t="shared" si="59"/>
        <v>193441979.79999998</v>
      </c>
      <c r="G101" s="210">
        <f>E101-F101</f>
        <v>23060767.690000057</v>
      </c>
      <c r="H101" s="168">
        <f>G101/E101</f>
        <v>0.10651489626507027</v>
      </c>
      <c r="K101" s="211">
        <f>E101+E117</f>
        <v>651657118.55000007</v>
      </c>
      <c r="L101" s="211">
        <f>F101+F117</f>
        <v>626733549.1099999</v>
      </c>
      <c r="M101">
        <f>I101+I117</f>
        <v>0</v>
      </c>
      <c r="N101" s="195">
        <f>M101/M107</f>
        <v>0</v>
      </c>
      <c r="O101" s="155"/>
      <c r="P101" s="158"/>
      <c r="U101" s="259" t="s">
        <v>109</v>
      </c>
      <c r="V101" s="280">
        <f>437366.8+86500+1031061+73000</f>
        <v>1627927.8</v>
      </c>
      <c r="W101" s="280">
        <f>437366.8+75500+1031061+73000</f>
        <v>1616927.8</v>
      </c>
      <c r="X101" s="281">
        <f>1+2+2+1</f>
        <v>6</v>
      </c>
      <c r="Y101" s="2">
        <f>V101-W101</f>
        <v>11000</v>
      </c>
    </row>
    <row r="102" spans="2:25" ht="19.5" customHeight="1" x14ac:dyDescent="0.25">
      <c r="C102">
        <f>3+1+1+1+1+3</f>
        <v>10</v>
      </c>
      <c r="D102" s="180" t="s">
        <v>77</v>
      </c>
      <c r="E102" s="169">
        <f t="shared" si="59"/>
        <v>3456999.44</v>
      </c>
      <c r="F102" s="169">
        <f t="shared" si="59"/>
        <v>2936448</v>
      </c>
      <c r="G102" s="187">
        <f t="shared" ref="G102:G107" si="60">E102-F102</f>
        <v>520551.43999999994</v>
      </c>
      <c r="H102" s="168">
        <f t="shared" ref="H102:H107" si="61">G102/E102</f>
        <v>0.15057897724160463</v>
      </c>
      <c r="K102" s="211">
        <f>E102+E118</f>
        <v>5363249.4399999995</v>
      </c>
      <c r="L102" s="211">
        <f>F102+F118</f>
        <v>4549198</v>
      </c>
      <c r="M102">
        <f>I102+I118</f>
        <v>37</v>
      </c>
      <c r="N102" s="195">
        <f>M102/M107</f>
        <v>0.32743362831858408</v>
      </c>
      <c r="O102" s="15"/>
      <c r="P102" s="17"/>
      <c r="U102" s="260" t="s">
        <v>111</v>
      </c>
      <c r="V102" s="255"/>
      <c r="W102" s="255"/>
      <c r="X102" s="263"/>
      <c r="Y102" s="2"/>
    </row>
    <row r="103" spans="2:25" x14ac:dyDescent="0.25">
      <c r="D103" s="181" t="s">
        <v>70</v>
      </c>
      <c r="E103" s="169">
        <f t="shared" si="59"/>
        <v>10947626.92</v>
      </c>
      <c r="F103" s="169">
        <f t="shared" si="59"/>
        <v>9729637.6300000008</v>
      </c>
      <c r="G103" s="228">
        <f t="shared" si="60"/>
        <v>1217989.2899999991</v>
      </c>
      <c r="H103" s="168">
        <f>G103/E103</f>
        <v>0.1112560099919809</v>
      </c>
      <c r="K103" s="211">
        <f>E103+E120</f>
        <v>10947626.92</v>
      </c>
      <c r="L103" s="211">
        <f>F103+F121</f>
        <v>444633956.93999994</v>
      </c>
      <c r="M103">
        <f>1+2</f>
        <v>3</v>
      </c>
      <c r="N103" s="195">
        <f>M103/M107</f>
        <v>2.6548672566371681E-2</v>
      </c>
      <c r="O103" s="160"/>
      <c r="P103" s="159"/>
      <c r="U103" s="260" t="s">
        <v>112</v>
      </c>
      <c r="V103" s="255">
        <f>644115.15+141709.5+92968.26+1863641.36+214152.86+1096674.07+137583.52+7214.21+306191.56</f>
        <v>4504250.49</v>
      </c>
      <c r="W103" s="255">
        <f>V103-692.96-26246.58</f>
        <v>4477310.95</v>
      </c>
      <c r="X103" s="263">
        <v>25</v>
      </c>
      <c r="Y103" s="2">
        <f t="shared" ref="Y103:Y104" si="62">V103-W103</f>
        <v>26939.540000000037</v>
      </c>
    </row>
    <row r="104" spans="2:25" ht="25.5" customHeight="1" x14ac:dyDescent="0.25">
      <c r="D104" s="182" t="s">
        <v>87</v>
      </c>
      <c r="E104" s="170">
        <f t="shared" si="59"/>
        <v>39511999.390000001</v>
      </c>
      <c r="F104" s="170">
        <f t="shared" si="59"/>
        <v>39474059.850000001</v>
      </c>
      <c r="G104" s="230">
        <f t="shared" si="60"/>
        <v>37939.539999999106</v>
      </c>
      <c r="H104" s="189">
        <f t="shared" si="61"/>
        <v>9.6020299113491931E-4</v>
      </c>
      <c r="K104" s="211">
        <f>E104</f>
        <v>39511999.390000001</v>
      </c>
      <c r="L104" s="211">
        <f>F104</f>
        <v>39474059.850000001</v>
      </c>
      <c r="M104">
        <v>73</v>
      </c>
      <c r="N104" s="195">
        <f>M104/M107</f>
        <v>0.64601769911504425</v>
      </c>
      <c r="O104" s="160"/>
      <c r="P104" s="159"/>
      <c r="U104" s="260"/>
      <c r="V104" s="282">
        <f>SUM(V101:V103)</f>
        <v>6132178.29</v>
      </c>
      <c r="W104" s="282">
        <f>SUM(W101:W103)</f>
        <v>6094238.75</v>
      </c>
      <c r="X104" s="265">
        <f>X101+X103</f>
        <v>31</v>
      </c>
      <c r="Y104" s="2">
        <f t="shared" si="62"/>
        <v>37939.540000000037</v>
      </c>
    </row>
    <row r="105" spans="2:25" ht="25.5" customHeight="1" x14ac:dyDescent="0.25">
      <c r="D105" s="269"/>
      <c r="E105" s="270"/>
      <c r="F105" s="270"/>
      <c r="G105" s="230"/>
      <c r="H105" s="271"/>
      <c r="K105" s="211"/>
      <c r="L105" s="211"/>
      <c r="N105" s="195"/>
      <c r="O105" s="160"/>
      <c r="P105" s="159"/>
      <c r="U105" s="260"/>
      <c r="V105" s="264"/>
      <c r="W105" s="264"/>
      <c r="X105" s="265"/>
    </row>
    <row r="106" spans="2:25" ht="16.5" customHeight="1" thickBot="1" x14ac:dyDescent="0.3">
      <c r="D106" s="269"/>
      <c r="E106" s="270"/>
      <c r="F106" s="270"/>
      <c r="G106" s="230"/>
      <c r="H106" s="271"/>
      <c r="K106" s="211"/>
      <c r="L106" s="211"/>
      <c r="N106" s="195"/>
      <c r="O106" s="160"/>
      <c r="P106" s="159"/>
      <c r="U106" s="277" t="s">
        <v>117</v>
      </c>
      <c r="V106" s="294">
        <f>1116440.92</f>
        <v>1116440.92</v>
      </c>
      <c r="W106" s="294">
        <f>1116440.92</f>
        <v>1116440.92</v>
      </c>
      <c r="X106" s="265">
        <f>5</f>
        <v>5</v>
      </c>
    </row>
    <row r="107" spans="2:25" ht="15.75" thickBot="1" x14ac:dyDescent="0.3">
      <c r="D107" s="188"/>
      <c r="E107" s="229">
        <f>SUM(E101:E104)</f>
        <v>270419373.24000001</v>
      </c>
      <c r="F107" s="229">
        <f>SUM(F101:F104)</f>
        <v>245582125.27999997</v>
      </c>
      <c r="G107" s="229">
        <f t="shared" si="60"/>
        <v>24837247.960000038</v>
      </c>
      <c r="H107" s="190">
        <f t="shared" si="61"/>
        <v>9.1847147127128062E-2</v>
      </c>
      <c r="I107" s="26"/>
      <c r="K107" s="212">
        <f>SUM(K101:K104)</f>
        <v>707479994.30000007</v>
      </c>
      <c r="L107" s="212">
        <f>F107+F121</f>
        <v>680486444.58999991</v>
      </c>
      <c r="M107" s="194">
        <f>SUM(M101:M104)</f>
        <v>113</v>
      </c>
      <c r="N107" s="195">
        <f>M107/M107</f>
        <v>1</v>
      </c>
      <c r="O107" s="160"/>
      <c r="P107" s="159"/>
      <c r="U107" s="277" t="s">
        <v>111</v>
      </c>
      <c r="V107" s="294">
        <f>644669.7+444712.63</f>
        <v>1089382.33</v>
      </c>
      <c r="W107" s="294">
        <f>644669.7+444712.63</f>
        <v>1089382.33</v>
      </c>
      <c r="X107" s="279">
        <f>2+1</f>
        <v>3</v>
      </c>
    </row>
    <row r="108" spans="2:25" x14ac:dyDescent="0.25">
      <c r="D108" s="272"/>
      <c r="E108" s="273"/>
      <c r="F108" s="273"/>
      <c r="G108" s="273"/>
      <c r="H108" s="274"/>
      <c r="I108" s="26"/>
      <c r="K108" s="275"/>
      <c r="L108" s="275"/>
      <c r="M108" s="276"/>
      <c r="N108" s="195"/>
      <c r="O108" s="160"/>
      <c r="P108" s="159"/>
      <c r="U108" s="277" t="s">
        <v>112</v>
      </c>
      <c r="V108" s="278">
        <f>133836.75+1218.12+209399.22</f>
        <v>344454.08999999997</v>
      </c>
      <c r="W108" s="278">
        <f>133836.75+1218.12+209399.22</f>
        <v>344454.08999999997</v>
      </c>
      <c r="X108" s="279">
        <f>1+1+1</f>
        <v>3</v>
      </c>
    </row>
    <row r="109" spans="2:25" x14ac:dyDescent="0.25">
      <c r="D109" s="272"/>
      <c r="E109" s="273"/>
      <c r="F109" s="273"/>
      <c r="G109" s="273"/>
      <c r="H109" s="274"/>
      <c r="I109" s="26"/>
      <c r="K109" s="275"/>
      <c r="L109" s="275"/>
      <c r="M109" s="276"/>
      <c r="N109" s="195"/>
      <c r="O109" s="160"/>
      <c r="P109" s="159"/>
      <c r="U109" s="277"/>
      <c r="V109" s="294">
        <f>SUM(V106:V108)</f>
        <v>2550277.34</v>
      </c>
      <c r="W109" s="294">
        <f>SUM(W106:W108)</f>
        <v>2550277.34</v>
      </c>
      <c r="X109" s="279">
        <f>SUM(X106:X108)</f>
        <v>11</v>
      </c>
    </row>
    <row r="110" spans="2:25" x14ac:dyDescent="0.25">
      <c r="D110" s="272"/>
      <c r="E110" s="273"/>
      <c r="F110" s="273"/>
      <c r="G110" s="273"/>
      <c r="H110" s="274"/>
      <c r="I110" s="26"/>
      <c r="K110" s="275"/>
      <c r="L110" s="275"/>
      <c r="M110" s="276"/>
      <c r="N110" s="195"/>
      <c r="O110" s="160"/>
      <c r="P110" s="159"/>
      <c r="U110" s="259" t="s">
        <v>115</v>
      </c>
      <c r="V110" s="255">
        <f>4612266.96+1430620.9+3590038.8</f>
        <v>9632926.6600000001</v>
      </c>
      <c r="W110" s="255">
        <f>4612266.96+1430620.9+3590038.8</f>
        <v>9632926.6600000001</v>
      </c>
      <c r="X110" s="263">
        <f>2+1+1</f>
        <v>4</v>
      </c>
    </row>
    <row r="111" spans="2:25" x14ac:dyDescent="0.25">
      <c r="D111" s="272"/>
      <c r="E111" s="273"/>
      <c r="F111" s="273"/>
      <c r="G111" s="273"/>
      <c r="H111" s="274"/>
      <c r="I111" s="26"/>
      <c r="K111" s="275"/>
      <c r="L111" s="275"/>
      <c r="M111" s="276"/>
      <c r="N111" s="195"/>
      <c r="O111" s="160"/>
      <c r="P111" s="159"/>
      <c r="U111" s="259" t="s">
        <v>116</v>
      </c>
      <c r="V111" s="255">
        <v>192379.07</v>
      </c>
      <c r="W111" s="255">
        <v>192379.07</v>
      </c>
      <c r="X111" s="263">
        <v>4</v>
      </c>
    </row>
    <row r="112" spans="2:25" x14ac:dyDescent="0.25">
      <c r="D112" s="183"/>
      <c r="E112" s="171"/>
      <c r="F112" s="171"/>
      <c r="G112" s="171"/>
      <c r="H112" s="171"/>
      <c r="K112" s="2"/>
      <c r="N112" s="155"/>
      <c r="O112" s="160"/>
      <c r="P112" s="159"/>
      <c r="U112" s="259" t="s">
        <v>113</v>
      </c>
      <c r="V112" s="255">
        <f>4000000+2742136+1200000+1100000+390000+450000+2150000+2700000+850000+370000+1500000+1579000+739247.5+1233854.35</f>
        <v>21004237.850000001</v>
      </c>
      <c r="W112" s="255">
        <f>4000000+2742136+1200000+1100000+390000+450000+2150000+2700000+850000+370000+1500000+1579000+739247.5+1233854.35</f>
        <v>21004237.850000001</v>
      </c>
      <c r="X112" s="263">
        <f>1+2+1+1+1+1+2+3+1+1+1+1+1+2</f>
        <v>19</v>
      </c>
    </row>
    <row r="113" spans="2:24" x14ac:dyDescent="0.25">
      <c r="D113" s="183"/>
      <c r="E113" s="171"/>
      <c r="F113" s="171"/>
      <c r="G113" s="171"/>
      <c r="H113" s="171"/>
      <c r="K113" s="2"/>
      <c r="N113" s="155"/>
      <c r="O113" s="160"/>
      <c r="P113" s="159"/>
      <c r="U113" s="259"/>
      <c r="V113" s="254">
        <f>SUM(V110:V112)</f>
        <v>30829543.580000002</v>
      </c>
      <c r="W113" s="254">
        <f t="shared" ref="W113" si="63">SUM(W110:W112)</f>
        <v>30829543.580000002</v>
      </c>
      <c r="X113" s="297">
        <v>27</v>
      </c>
    </row>
    <row r="114" spans="2:24" x14ac:dyDescent="0.25">
      <c r="D114" s="183"/>
      <c r="E114" s="171"/>
      <c r="F114" s="171"/>
      <c r="G114" s="171"/>
      <c r="H114" s="171"/>
      <c r="N114" s="155"/>
      <c r="O114" s="160"/>
      <c r="P114" s="159"/>
      <c r="U114" s="261"/>
      <c r="V114" s="282">
        <f>V109+V113</f>
        <v>33379820.920000002</v>
      </c>
      <c r="W114" s="282">
        <f>W109+W113</f>
        <v>33379820.920000002</v>
      </c>
      <c r="X114" s="265">
        <f>X109+X113</f>
        <v>38</v>
      </c>
    </row>
    <row r="115" spans="2:24" ht="15.75" thickBot="1" x14ac:dyDescent="0.3">
      <c r="D115" s="184"/>
      <c r="E115" s="171"/>
      <c r="F115" s="172" t="s">
        <v>88</v>
      </c>
      <c r="G115" s="172"/>
      <c r="H115" s="172"/>
      <c r="N115" s="15"/>
      <c r="O115" s="161"/>
      <c r="P115" s="156"/>
      <c r="U115" s="262" t="s">
        <v>63</v>
      </c>
      <c r="V115" s="295">
        <f>V104+V114</f>
        <v>39511999.210000001</v>
      </c>
      <c r="W115" s="295">
        <f t="shared" ref="W115:X115" si="64">W104+W114</f>
        <v>39474059.670000002</v>
      </c>
      <c r="X115" s="296">
        <f t="shared" si="64"/>
        <v>69</v>
      </c>
    </row>
    <row r="116" spans="2:24" ht="25.5" thickBot="1" x14ac:dyDescent="0.3">
      <c r="D116" s="185"/>
      <c r="E116" s="173" t="s">
        <v>83</v>
      </c>
      <c r="F116" s="174" t="s">
        <v>84</v>
      </c>
      <c r="G116" s="175" t="s">
        <v>85</v>
      </c>
      <c r="H116" s="173"/>
      <c r="Q116" s="58"/>
      <c r="R116" s="58"/>
      <c r="S116" s="58"/>
      <c r="T116" s="58"/>
    </row>
    <row r="117" spans="2:24" ht="15.75" thickBot="1" x14ac:dyDescent="0.3">
      <c r="D117" s="179" t="s">
        <v>86</v>
      </c>
      <c r="E117" s="213">
        <f>D17+D21+D25+D29+D33+D37+D41+D45+D49+D57+D61+D65+D69+D53</f>
        <v>435154371.06</v>
      </c>
      <c r="F117" s="176">
        <f>E17+E21+E25+E29+E33+E37+E41+E45+E49+E57+E61+E65+E69+E53</f>
        <v>433291569.30999994</v>
      </c>
      <c r="G117" s="176">
        <f>F17+F21+F25+F29+F33+F37+F41+F45+F49+F57+F61+F65+F69+F53</f>
        <v>1862801.7500000149</v>
      </c>
      <c r="H117" s="177">
        <f>G117/E117</f>
        <v>4.2807837261576486E-3</v>
      </c>
      <c r="K117" s="232" t="s">
        <v>104</v>
      </c>
      <c r="L117" s="52"/>
      <c r="M117" s="235">
        <v>600000</v>
      </c>
      <c r="N117" s="233">
        <v>1</v>
      </c>
      <c r="O117" s="52" t="s">
        <v>86</v>
      </c>
      <c r="Q117" s="58"/>
      <c r="R117" s="58"/>
      <c r="S117" s="58"/>
      <c r="T117" s="58"/>
      <c r="W117" s="2">
        <f>F104-W115</f>
        <v>0.17999999970197678</v>
      </c>
    </row>
    <row r="118" spans="2:24" ht="15.75" thickBot="1" x14ac:dyDescent="0.3">
      <c r="D118" s="180" t="s">
        <v>77</v>
      </c>
      <c r="E118" s="176">
        <f>G17+G21+G25+G33++G41+G45+G53+G57+G61+G65+G69+G49</f>
        <v>1906250</v>
      </c>
      <c r="F118" s="176">
        <f>H17+H21+H25+H33++H41+H45+H53+H57+H61+H65+H69</f>
        <v>1612750</v>
      </c>
      <c r="G118" s="176">
        <f>I17+I21+I25+I33++I41+I45+I53+I57+I61+I65+I69</f>
        <v>106000</v>
      </c>
      <c r="H118" s="178">
        <f t="shared" ref="H118:H122" si="65">G118/E118</f>
        <v>5.5606557377049178E-2</v>
      </c>
      <c r="I118">
        <v>37</v>
      </c>
      <c r="K118" s="90"/>
      <c r="L118" s="57"/>
      <c r="M118" s="236">
        <f>2203344+2809263.6</f>
        <v>5012607.5999999996</v>
      </c>
      <c r="N118" s="58">
        <v>2</v>
      </c>
      <c r="O118" s="57" t="s">
        <v>86</v>
      </c>
      <c r="Q118" s="58"/>
      <c r="R118" s="58"/>
      <c r="S118" s="58"/>
      <c r="T118" s="58"/>
    </row>
    <row r="119" spans="2:24" ht="15.75" thickBot="1" x14ac:dyDescent="0.3">
      <c r="D119" s="239"/>
      <c r="E119" s="176"/>
      <c r="F119" s="176"/>
      <c r="G119" s="176"/>
      <c r="H119" s="178"/>
      <c r="K119" s="90"/>
      <c r="L119" s="57"/>
      <c r="M119" s="236">
        <f>3866860.24+538768.8+1102278</f>
        <v>5507907.04</v>
      </c>
      <c r="N119" s="58">
        <v>3</v>
      </c>
      <c r="O119" s="57" t="s">
        <v>86</v>
      </c>
      <c r="Q119" s="58"/>
      <c r="R119" s="58"/>
      <c r="S119" s="58"/>
      <c r="T119" s="58"/>
    </row>
    <row r="120" spans="2:24" ht="15.75" thickBot="1" x14ac:dyDescent="0.3">
      <c r="D120" s="181" t="s">
        <v>89</v>
      </c>
      <c r="E120" s="176">
        <f>M29</f>
        <v>0</v>
      </c>
      <c r="F120" s="176">
        <f>N29</f>
        <v>0</v>
      </c>
      <c r="G120" s="176">
        <f>O29</f>
        <v>0</v>
      </c>
      <c r="H120" s="178" t="e">
        <f>G120/E120</f>
        <v>#DIV/0!</v>
      </c>
      <c r="I120">
        <v>1</v>
      </c>
      <c r="K120" s="90"/>
      <c r="L120" s="57"/>
      <c r="M120" s="240">
        <f>SUM(M117:M119)</f>
        <v>11120514.640000001</v>
      </c>
      <c r="N120" s="231">
        <v>6</v>
      </c>
      <c r="O120" s="57" t="s">
        <v>86</v>
      </c>
      <c r="Q120" s="58"/>
      <c r="R120" s="58"/>
      <c r="S120" s="58"/>
      <c r="T120" s="58"/>
      <c r="U120" s="259" t="s">
        <v>109</v>
      </c>
      <c r="V120" s="280">
        <f>437366.8+86500+1031061+73000</f>
        <v>1627927.8</v>
      </c>
      <c r="W120" s="280">
        <f>1031061+437366.8+73000+75500</f>
        <v>1616927.8</v>
      </c>
    </row>
    <row r="121" spans="2:24" ht="15.75" thickBot="1" x14ac:dyDescent="0.3">
      <c r="D121" s="166" t="s">
        <v>23</v>
      </c>
      <c r="E121" s="213">
        <f>SUM(E117:E120)</f>
        <v>437060621.06</v>
      </c>
      <c r="F121" s="213">
        <f t="shared" ref="F121:G121" si="66">SUM(F117:F120)</f>
        <v>434904319.30999994</v>
      </c>
      <c r="G121" s="213">
        <f t="shared" si="66"/>
        <v>1968801.7500000149</v>
      </c>
      <c r="H121" s="178">
        <f t="shared" si="65"/>
        <v>4.5046422741657531E-3</v>
      </c>
      <c r="I121" s="186">
        <f>SUM(I117:I120)</f>
        <v>38</v>
      </c>
      <c r="K121" s="234" t="s">
        <v>105</v>
      </c>
      <c r="L121" s="238"/>
      <c r="M121" s="237">
        <v>900000</v>
      </c>
      <c r="N121" s="58">
        <v>1</v>
      </c>
      <c r="O121" s="57" t="s">
        <v>86</v>
      </c>
      <c r="Q121" s="58"/>
      <c r="R121" s="58"/>
      <c r="S121" s="58"/>
      <c r="T121" s="58"/>
      <c r="U121" s="260" t="s">
        <v>111</v>
      </c>
      <c r="V121" s="255"/>
      <c r="W121" s="255"/>
    </row>
    <row r="122" spans="2:24" ht="15.75" thickBot="1" x14ac:dyDescent="0.3">
      <c r="D122" s="191" t="s">
        <v>90</v>
      </c>
      <c r="E122" s="214">
        <f>E107+E121</f>
        <v>707479994.29999995</v>
      </c>
      <c r="F122" s="214">
        <f>F107+F121</f>
        <v>680486444.58999991</v>
      </c>
      <c r="G122" s="214">
        <f>G107+G121</f>
        <v>26806049.710000053</v>
      </c>
      <c r="H122" s="192">
        <f t="shared" si="65"/>
        <v>3.7889480870088338E-2</v>
      </c>
      <c r="I122" s="154">
        <f>I107+I121</f>
        <v>38</v>
      </c>
      <c r="K122" s="90"/>
      <c r="L122" s="57"/>
      <c r="M122" s="236">
        <v>1736500</v>
      </c>
      <c r="N122" s="252">
        <v>1</v>
      </c>
      <c r="O122" s="57"/>
      <c r="Q122" s="58"/>
      <c r="R122" s="58"/>
      <c r="S122" s="58"/>
      <c r="T122" s="58"/>
      <c r="U122" s="260" t="s">
        <v>112</v>
      </c>
      <c r="V122" s="255">
        <f>644115.15+141709.5+92968.26+1863641.36+214152.86+1096674.07+137583.52+7214.21+306191.56</f>
        <v>4504250.49</v>
      </c>
      <c r="W122" s="255">
        <f>644115.15+1096674.07</f>
        <v>1740789.2200000002</v>
      </c>
    </row>
    <row r="123" spans="2:24" ht="15.75" thickBot="1" x14ac:dyDescent="0.3">
      <c r="K123" s="53"/>
      <c r="L123" s="54"/>
      <c r="M123" s="241">
        <f>SUM(M121:M122)</f>
        <v>2636500</v>
      </c>
      <c r="N123" s="231">
        <f>N121+N122</f>
        <v>2</v>
      </c>
      <c r="O123" s="54"/>
      <c r="Q123" s="58"/>
      <c r="R123" s="58"/>
      <c r="S123" s="58"/>
      <c r="T123" s="58"/>
      <c r="U123" s="260"/>
      <c r="V123" s="282">
        <f>SUM(V120:V122)</f>
        <v>6132178.29</v>
      </c>
      <c r="W123" s="282"/>
    </row>
    <row r="124" spans="2:24" x14ac:dyDescent="0.25">
      <c r="B124" s="26" t="s">
        <v>103</v>
      </c>
      <c r="D124" s="179" t="s">
        <v>86</v>
      </c>
      <c r="E124" s="26">
        <f>7+13+4+21+3+8+8+12+4+5+9+6+2+14</f>
        <v>116</v>
      </c>
      <c r="F124" s="242">
        <v>435154.4</v>
      </c>
      <c r="G124" s="31" t="s">
        <v>106</v>
      </c>
      <c r="N124" s="26">
        <f>N120+N123</f>
        <v>8</v>
      </c>
      <c r="Q124" s="58"/>
      <c r="R124" s="58"/>
      <c r="S124" s="58"/>
      <c r="T124" s="58"/>
      <c r="U124" s="260"/>
      <c r="V124" s="264"/>
      <c r="W124" s="264"/>
    </row>
    <row r="125" spans="2:24" ht="15.75" thickBot="1" x14ac:dyDescent="0.3">
      <c r="D125" s="180" t="s">
        <v>77</v>
      </c>
      <c r="E125" s="26">
        <f>4+1+1+1</f>
        <v>7</v>
      </c>
      <c r="F125" s="242">
        <v>1906.3</v>
      </c>
      <c r="G125" s="31" t="s">
        <v>107</v>
      </c>
      <c r="M125" s="287">
        <f>(M120+M123)/1000</f>
        <v>13757.014640000001</v>
      </c>
      <c r="U125" s="277" t="s">
        <v>117</v>
      </c>
      <c r="V125" s="294">
        <f>1116440.92</f>
        <v>1116440.92</v>
      </c>
      <c r="W125" s="294"/>
    </row>
    <row r="126" spans="2:24" ht="15.75" thickBot="1" x14ac:dyDescent="0.3">
      <c r="E126" s="243">
        <f>SUM(E124:E125)</f>
        <v>123</v>
      </c>
      <c r="F126" s="244">
        <f>F124+F125</f>
        <v>437060.7</v>
      </c>
      <c r="I126" s="2">
        <f>L132</f>
        <v>0</v>
      </c>
      <c r="U126" s="277" t="s">
        <v>111</v>
      </c>
      <c r="V126" s="294">
        <f>644669.7+444712.63</f>
        <v>1089382.33</v>
      </c>
      <c r="W126" s="294"/>
    </row>
    <row r="127" spans="2:24" x14ac:dyDescent="0.25">
      <c r="U127" s="277" t="s">
        <v>112</v>
      </c>
      <c r="V127" s="278">
        <f>133836.75+1218.12+209399.22</f>
        <v>344454.08999999997</v>
      </c>
      <c r="W127" s="278"/>
    </row>
    <row r="128" spans="2:24" x14ac:dyDescent="0.25">
      <c r="F128" s="331"/>
      <c r="U128" s="277"/>
      <c r="V128" s="294">
        <f>SUM(V125:V127)</f>
        <v>2550277.34</v>
      </c>
      <c r="W128" s="294"/>
    </row>
    <row r="129" spans="2:23" x14ac:dyDescent="0.25">
      <c r="C129" s="26">
        <f>C101+E124</f>
        <v>172</v>
      </c>
      <c r="F129" s="20">
        <f>F126+M125</f>
        <v>450817.71464000002</v>
      </c>
      <c r="U129" s="259" t="s">
        <v>115</v>
      </c>
      <c r="V129" s="255">
        <f>4612266.96+1430620.9+3590038.8</f>
        <v>9632926.6600000001</v>
      </c>
      <c r="W129" s="255"/>
    </row>
    <row r="130" spans="2:23" x14ac:dyDescent="0.25">
      <c r="C130" s="26">
        <f>C102+E125</f>
        <v>17</v>
      </c>
      <c r="F130" s="208"/>
      <c r="U130" s="259" t="s">
        <v>116</v>
      </c>
      <c r="V130" s="255">
        <v>192379.07</v>
      </c>
      <c r="W130" s="255"/>
    </row>
    <row r="131" spans="2:23" x14ac:dyDescent="0.25">
      <c r="U131" s="259" t="s">
        <v>113</v>
      </c>
      <c r="V131" s="255">
        <f>4000000+2742136+1200000+1100000+390000+450000+2150000+2700000+850000+370000+1500000+1579000+739247.5+1233854.35</f>
        <v>21004237.850000001</v>
      </c>
      <c r="W131" s="255"/>
    </row>
    <row r="132" spans="2:23" x14ac:dyDescent="0.25">
      <c r="U132" s="259"/>
      <c r="V132" s="254">
        <f>SUM(V129:V131)</f>
        <v>30829543.580000002</v>
      </c>
      <c r="W132" s="254"/>
    </row>
    <row r="133" spans="2:23" x14ac:dyDescent="0.25">
      <c r="U133" s="261"/>
      <c r="V133" s="282">
        <f>V128+V132</f>
        <v>33379820.920000002</v>
      </c>
      <c r="W133" s="282"/>
    </row>
    <row r="134" spans="2:23" ht="15.75" thickBot="1" x14ac:dyDescent="0.3">
      <c r="U134" s="262" t="s">
        <v>63</v>
      </c>
      <c r="V134" s="295">
        <f>V123+V133</f>
        <v>39511999.210000001</v>
      </c>
      <c r="W134" s="295"/>
    </row>
    <row r="137" spans="2:23" ht="15.75" thickBot="1" x14ac:dyDescent="0.3"/>
    <row r="138" spans="2:23" ht="15.75" thickBot="1" x14ac:dyDescent="0.3">
      <c r="B138" s="437" t="s">
        <v>32</v>
      </c>
      <c r="C138" s="149"/>
      <c r="E138" s="107">
        <v>4202673.5599999996</v>
      </c>
      <c r="F138">
        <v>103</v>
      </c>
    </row>
    <row r="139" spans="2:23" ht="15.75" thickBot="1" x14ac:dyDescent="0.3">
      <c r="B139" s="438"/>
      <c r="C139" s="61"/>
    </row>
    <row r="140" spans="2:23" x14ac:dyDescent="0.25">
      <c r="B140" s="439" t="s">
        <v>34</v>
      </c>
      <c r="C140" s="151"/>
      <c r="E140" s="107">
        <v>7150086.0999999996</v>
      </c>
      <c r="F140">
        <v>139</v>
      </c>
    </row>
    <row r="141" spans="2:23" ht="15.75" thickBot="1" x14ac:dyDescent="0.3">
      <c r="B141" s="726"/>
      <c r="C141" s="727"/>
    </row>
    <row r="142" spans="2:23" x14ac:dyDescent="0.25">
      <c r="B142" s="745" t="s">
        <v>35</v>
      </c>
      <c r="C142" s="746"/>
      <c r="E142" s="107">
        <v>5490045.3099999996</v>
      </c>
      <c r="F142">
        <v>92</v>
      </c>
    </row>
    <row r="143" spans="2:23" ht="15.75" thickBot="1" x14ac:dyDescent="0.3">
      <c r="B143" s="726"/>
      <c r="C143" s="727"/>
    </row>
    <row r="144" spans="2:23" ht="15.75" thickBot="1" x14ac:dyDescent="0.3">
      <c r="B144" s="745" t="s">
        <v>41</v>
      </c>
      <c r="C144" s="746"/>
      <c r="E144" s="107">
        <v>7571399.5700000003</v>
      </c>
      <c r="F144">
        <v>117</v>
      </c>
    </row>
    <row r="145" spans="2:16" ht="17.25" thickTop="1" thickBot="1" x14ac:dyDescent="0.3">
      <c r="J145">
        <v>1</v>
      </c>
      <c r="K145" s="440">
        <v>25920</v>
      </c>
      <c r="M145" s="443">
        <v>20250</v>
      </c>
      <c r="N145">
        <v>1</v>
      </c>
    </row>
    <row r="146" spans="2:16" ht="16.5" thickBot="1" x14ac:dyDescent="0.3">
      <c r="B146" s="745" t="s">
        <v>43</v>
      </c>
      <c r="C146" s="746"/>
      <c r="E146" s="107">
        <v>4216086.0199999996</v>
      </c>
      <c r="F146">
        <v>71</v>
      </c>
      <c r="J146">
        <v>2</v>
      </c>
      <c r="K146" s="441">
        <v>36000</v>
      </c>
      <c r="M146" s="444">
        <v>62400</v>
      </c>
      <c r="N146">
        <v>2</v>
      </c>
      <c r="P146" s="445">
        <v>50000</v>
      </c>
    </row>
    <row r="147" spans="2:16" ht="16.5" thickBot="1" x14ac:dyDescent="0.3">
      <c r="B147" s="726"/>
      <c r="C147" s="727"/>
      <c r="J147">
        <v>3</v>
      </c>
      <c r="K147" s="442">
        <v>76848</v>
      </c>
      <c r="M147" s="444">
        <v>62400</v>
      </c>
      <c r="N147">
        <v>3</v>
      </c>
      <c r="P147" s="446"/>
    </row>
    <row r="148" spans="2:16" ht="16.5" thickBot="1" x14ac:dyDescent="0.3">
      <c r="B148" s="745" t="s">
        <v>44</v>
      </c>
      <c r="C148" s="746"/>
      <c r="E148" s="107">
        <v>2695993.59</v>
      </c>
      <c r="F148">
        <v>86</v>
      </c>
      <c r="J148">
        <v>4</v>
      </c>
      <c r="K148" s="441">
        <v>16192.56</v>
      </c>
      <c r="M148" s="444">
        <v>14000</v>
      </c>
      <c r="N148">
        <v>4</v>
      </c>
      <c r="P148" s="447"/>
    </row>
    <row r="149" spans="2:16" ht="16.5" thickBot="1" x14ac:dyDescent="0.3">
      <c r="B149" s="726"/>
      <c r="C149" s="727"/>
      <c r="J149">
        <v>5</v>
      </c>
      <c r="K149" s="442">
        <v>15000</v>
      </c>
      <c r="M149" s="444">
        <v>7500</v>
      </c>
      <c r="N149">
        <v>5</v>
      </c>
      <c r="P149" s="445">
        <v>100000</v>
      </c>
    </row>
    <row r="150" spans="2:16" ht="16.5" thickBot="1" x14ac:dyDescent="0.3">
      <c r="B150" s="745" t="s">
        <v>47</v>
      </c>
      <c r="C150" s="746"/>
      <c r="E150" s="107">
        <v>9625047.4600000009</v>
      </c>
      <c r="F150">
        <v>144</v>
      </c>
      <c r="J150">
        <v>6</v>
      </c>
      <c r="K150" s="441">
        <v>50000</v>
      </c>
      <c r="M150" s="444">
        <v>40000</v>
      </c>
      <c r="N150">
        <v>6</v>
      </c>
      <c r="P150" s="448"/>
    </row>
    <row r="151" spans="2:16" ht="15.75" thickBot="1" x14ac:dyDescent="0.3">
      <c r="B151" s="726"/>
      <c r="C151" s="727"/>
      <c r="J151">
        <v>7</v>
      </c>
      <c r="K151" s="776">
        <v>73800</v>
      </c>
      <c r="M151" s="444">
        <v>91512</v>
      </c>
      <c r="N151">
        <v>7</v>
      </c>
      <c r="P151" s="447"/>
    </row>
    <row r="152" spans="2:16" ht="15.75" thickBot="1" x14ac:dyDescent="0.3">
      <c r="B152" s="745" t="s">
        <v>48</v>
      </c>
      <c r="C152" s="746"/>
      <c r="E152" s="107">
        <v>5712737.3499999996</v>
      </c>
      <c r="F152">
        <v>111</v>
      </c>
      <c r="J152">
        <v>8</v>
      </c>
      <c r="K152" s="777"/>
      <c r="M152" s="444">
        <v>12000</v>
      </c>
      <c r="N152">
        <v>8</v>
      </c>
      <c r="P152" s="445">
        <v>100000</v>
      </c>
    </row>
    <row r="153" spans="2:16" ht="16.5" thickBot="1" x14ac:dyDescent="0.3">
      <c r="B153" s="726"/>
      <c r="C153" s="727"/>
      <c r="J153">
        <v>9</v>
      </c>
      <c r="K153" s="441">
        <v>5200</v>
      </c>
      <c r="M153" s="444">
        <v>20000</v>
      </c>
      <c r="N153">
        <v>9</v>
      </c>
      <c r="P153" s="448"/>
    </row>
    <row r="154" spans="2:16" ht="16.5" thickBot="1" x14ac:dyDescent="0.3">
      <c r="B154" s="745" t="s">
        <v>52</v>
      </c>
      <c r="C154" s="746"/>
      <c r="E154" s="107">
        <v>8693442.5500000007</v>
      </c>
      <c r="F154">
        <v>86</v>
      </c>
      <c r="J154">
        <v>10</v>
      </c>
      <c r="K154" s="442">
        <v>38400</v>
      </c>
      <c r="M154" s="444">
        <v>1560</v>
      </c>
      <c r="N154">
        <v>10</v>
      </c>
      <c r="P154" s="447"/>
    </row>
    <row r="155" spans="2:16" ht="16.5" thickBot="1" x14ac:dyDescent="0.3">
      <c r="B155" s="726"/>
      <c r="C155" s="727"/>
      <c r="J155">
        <v>11</v>
      </c>
      <c r="K155" s="442">
        <v>46800</v>
      </c>
      <c r="M155" s="444">
        <v>5535</v>
      </c>
      <c r="N155">
        <v>11</v>
      </c>
      <c r="P155" s="445">
        <v>1500</v>
      </c>
    </row>
    <row r="156" spans="2:16" ht="16.5" thickBot="1" x14ac:dyDescent="0.3">
      <c r="B156" s="745" t="s">
        <v>54</v>
      </c>
      <c r="C156" s="746"/>
      <c r="E156" s="107">
        <v>10185568.98</v>
      </c>
      <c r="F156">
        <v>170</v>
      </c>
      <c r="J156">
        <v>12</v>
      </c>
      <c r="K156" s="441">
        <v>38400</v>
      </c>
      <c r="M156" s="444">
        <v>99999</v>
      </c>
      <c r="N156">
        <v>12</v>
      </c>
      <c r="P156" s="446"/>
    </row>
    <row r="157" spans="2:16" ht="16.5" thickBot="1" x14ac:dyDescent="0.3">
      <c r="B157" s="726"/>
      <c r="C157" s="727"/>
      <c r="J157">
        <v>13</v>
      </c>
      <c r="K157" s="441">
        <v>80000</v>
      </c>
      <c r="M157" s="444">
        <v>99999</v>
      </c>
      <c r="N157">
        <v>13</v>
      </c>
      <c r="P157" s="447"/>
    </row>
    <row r="158" spans="2:16" ht="16.5" thickBot="1" x14ac:dyDescent="0.3">
      <c r="B158" s="745" t="s">
        <v>56</v>
      </c>
      <c r="C158" s="746"/>
      <c r="E158" s="107">
        <v>3412868.74</v>
      </c>
      <c r="F158">
        <v>61</v>
      </c>
      <c r="J158">
        <v>14</v>
      </c>
      <c r="K158" s="441">
        <v>6640</v>
      </c>
      <c r="M158" s="444">
        <v>99000</v>
      </c>
      <c r="N158">
        <v>14</v>
      </c>
      <c r="P158" s="445">
        <v>76000</v>
      </c>
    </row>
    <row r="159" spans="2:16" ht="16.5" thickBot="1" x14ac:dyDescent="0.3">
      <c r="B159" s="726"/>
      <c r="C159" s="727"/>
      <c r="J159">
        <v>15</v>
      </c>
      <c r="K159" s="441">
        <v>99000</v>
      </c>
      <c r="M159" s="444">
        <v>44801</v>
      </c>
      <c r="N159">
        <v>15</v>
      </c>
      <c r="P159" s="449"/>
    </row>
    <row r="160" spans="2:16" ht="16.5" thickBot="1" x14ac:dyDescent="0.3">
      <c r="B160" s="745" t="s">
        <v>58</v>
      </c>
      <c r="C160" s="746"/>
      <c r="E160" s="107">
        <v>11911792.98</v>
      </c>
      <c r="F160">
        <v>246</v>
      </c>
      <c r="J160">
        <v>16</v>
      </c>
      <c r="K160" s="441">
        <v>1800</v>
      </c>
      <c r="M160" s="444">
        <v>17500</v>
      </c>
      <c r="N160">
        <v>16</v>
      </c>
      <c r="P160" s="445">
        <v>7348.23</v>
      </c>
    </row>
    <row r="161" spans="2:16" ht="16.5" thickBot="1" x14ac:dyDescent="0.3">
      <c r="B161" s="726"/>
      <c r="C161" s="727"/>
      <c r="J161">
        <v>17</v>
      </c>
      <c r="K161" s="442">
        <v>50000</v>
      </c>
      <c r="M161" s="444">
        <v>24237.42</v>
      </c>
      <c r="N161">
        <v>17</v>
      </c>
      <c r="P161" s="448"/>
    </row>
    <row r="162" spans="2:16" ht="16.5" thickBot="1" x14ac:dyDescent="0.3">
      <c r="B162" s="745" t="s">
        <v>59</v>
      </c>
      <c r="C162" s="746"/>
      <c r="E162" s="107">
        <v>1852596.5</v>
      </c>
      <c r="F162">
        <v>48</v>
      </c>
      <c r="J162">
        <v>18</v>
      </c>
      <c r="K162" s="442">
        <v>99910</v>
      </c>
      <c r="M162" s="444">
        <v>99999</v>
      </c>
      <c r="N162">
        <v>18</v>
      </c>
      <c r="P162" s="447"/>
    </row>
    <row r="163" spans="2:16" ht="16.5" thickBot="1" x14ac:dyDescent="0.3">
      <c r="B163" s="726"/>
      <c r="C163" s="727"/>
      <c r="J163">
        <v>19</v>
      </c>
      <c r="K163" s="441">
        <v>21124</v>
      </c>
      <c r="M163" s="444">
        <v>12000</v>
      </c>
      <c r="N163">
        <v>19</v>
      </c>
      <c r="P163" s="445">
        <v>15000</v>
      </c>
    </row>
    <row r="164" spans="2:16" ht="16.5" thickBot="1" x14ac:dyDescent="0.3">
      <c r="B164" s="780" t="s">
        <v>62</v>
      </c>
      <c r="C164" s="781"/>
      <c r="E164" s="107">
        <v>7861356.7000000002</v>
      </c>
      <c r="F164">
        <v>114</v>
      </c>
      <c r="J164">
        <v>20</v>
      </c>
      <c r="K164" s="442">
        <v>19200</v>
      </c>
      <c r="M164" s="444">
        <v>40936.14</v>
      </c>
      <c r="N164">
        <v>20</v>
      </c>
      <c r="P164" s="446"/>
    </row>
    <row r="165" spans="2:16" ht="16.5" thickBot="1" x14ac:dyDescent="0.3">
      <c r="E165" s="80">
        <f>SUM(E138:E164)</f>
        <v>90581695.410000011</v>
      </c>
      <c r="F165">
        <f>SUM(F138:F164)</f>
        <v>1588</v>
      </c>
      <c r="J165">
        <v>21</v>
      </c>
      <c r="K165" s="442">
        <v>3000</v>
      </c>
      <c r="M165" s="444">
        <v>58474.5</v>
      </c>
      <c r="N165">
        <v>21</v>
      </c>
      <c r="P165" s="450"/>
    </row>
    <row r="166" spans="2:16" ht="16.5" thickBot="1" x14ac:dyDescent="0.3">
      <c r="J166">
        <v>22</v>
      </c>
      <c r="K166" s="442">
        <v>17794</v>
      </c>
      <c r="M166" s="444">
        <v>8174.09</v>
      </c>
      <c r="N166">
        <v>22</v>
      </c>
      <c r="P166" s="445">
        <v>12500</v>
      </c>
    </row>
    <row r="167" spans="2:16" ht="16.5" thickBot="1" x14ac:dyDescent="0.3">
      <c r="J167">
        <v>23</v>
      </c>
      <c r="K167" s="442">
        <v>99000</v>
      </c>
      <c r="M167" s="444">
        <v>400</v>
      </c>
      <c r="N167">
        <v>23</v>
      </c>
      <c r="P167" s="449"/>
    </row>
    <row r="168" spans="2:16" ht="16.5" thickBot="1" x14ac:dyDescent="0.3">
      <c r="J168">
        <v>24</v>
      </c>
      <c r="K168" s="441">
        <v>58275</v>
      </c>
      <c r="M168" s="444">
        <v>28000</v>
      </c>
      <c r="N168">
        <v>24</v>
      </c>
      <c r="P168" s="445">
        <v>2537.7800000000002</v>
      </c>
    </row>
    <row r="169" spans="2:16" ht="16.5" thickBot="1" x14ac:dyDescent="0.3">
      <c r="J169">
        <v>25</v>
      </c>
      <c r="K169" s="442">
        <v>99000</v>
      </c>
      <c r="M169" s="444">
        <v>70000</v>
      </c>
      <c r="N169">
        <v>25</v>
      </c>
      <c r="P169" s="449"/>
    </row>
    <row r="170" spans="2:16" ht="16.5" thickBot="1" x14ac:dyDescent="0.3">
      <c r="J170">
        <v>26</v>
      </c>
      <c r="K170" s="442">
        <v>6000</v>
      </c>
      <c r="M170" s="444">
        <v>97867</v>
      </c>
      <c r="N170">
        <v>26</v>
      </c>
      <c r="P170" s="445">
        <v>100000</v>
      </c>
    </row>
    <row r="171" spans="2:16" ht="16.5" thickBot="1" x14ac:dyDescent="0.3">
      <c r="J171">
        <v>27</v>
      </c>
      <c r="K171" s="442">
        <v>50000</v>
      </c>
      <c r="M171" s="444">
        <v>15252</v>
      </c>
      <c r="N171">
        <v>27</v>
      </c>
      <c r="P171" s="449"/>
    </row>
    <row r="172" spans="2:16" ht="16.5" thickBot="1" x14ac:dyDescent="0.3">
      <c r="J172">
        <v>28</v>
      </c>
      <c r="K172" s="442">
        <v>32000</v>
      </c>
      <c r="M172" s="444">
        <v>8208</v>
      </c>
      <c r="N172">
        <v>28</v>
      </c>
      <c r="P172" s="445">
        <v>91500</v>
      </c>
    </row>
    <row r="173" spans="2:16" ht="15.75" thickBot="1" x14ac:dyDescent="0.3">
      <c r="J173">
        <v>29</v>
      </c>
      <c r="K173" s="778">
        <v>12000</v>
      </c>
      <c r="M173" s="444">
        <v>10000</v>
      </c>
      <c r="N173">
        <v>29</v>
      </c>
      <c r="P173" s="451"/>
    </row>
    <row r="174" spans="2:16" ht="15.75" thickBot="1" x14ac:dyDescent="0.3">
      <c r="J174">
        <v>30</v>
      </c>
      <c r="K174" s="779"/>
      <c r="M174" s="444">
        <v>2975</v>
      </c>
      <c r="N174">
        <v>30</v>
      </c>
      <c r="P174" s="452"/>
    </row>
    <row r="175" spans="2:16" ht="16.5" thickBot="1" x14ac:dyDescent="0.3">
      <c r="J175">
        <v>31</v>
      </c>
      <c r="K175" s="442">
        <v>32400</v>
      </c>
      <c r="M175" s="444">
        <v>76260</v>
      </c>
      <c r="N175">
        <v>31</v>
      </c>
      <c r="P175" s="445">
        <v>48000</v>
      </c>
    </row>
    <row r="176" spans="2:16" ht="16.5" thickBot="1" x14ac:dyDescent="0.3">
      <c r="J176">
        <v>32</v>
      </c>
      <c r="K176" s="442">
        <v>90000</v>
      </c>
      <c r="M176" s="444">
        <v>46045</v>
      </c>
      <c r="N176">
        <v>32</v>
      </c>
      <c r="P176" s="451"/>
    </row>
    <row r="177" spans="10:16" ht="16.5" thickBot="1" x14ac:dyDescent="0.3">
      <c r="J177">
        <v>33</v>
      </c>
      <c r="K177" s="442">
        <v>11758.92</v>
      </c>
      <c r="M177" s="444">
        <v>17599.400000000001</v>
      </c>
      <c r="N177">
        <v>33</v>
      </c>
      <c r="P177" s="449"/>
    </row>
    <row r="178" spans="10:16" ht="15.75" thickBot="1" x14ac:dyDescent="0.3">
      <c r="J178">
        <v>34</v>
      </c>
      <c r="K178" s="778">
        <v>36000</v>
      </c>
      <c r="M178" s="444">
        <v>46700</v>
      </c>
      <c r="N178">
        <v>34</v>
      </c>
      <c r="P178" s="445">
        <v>18000</v>
      </c>
    </row>
    <row r="179" spans="10:16" ht="15.75" thickBot="1" x14ac:dyDescent="0.3">
      <c r="J179">
        <v>35</v>
      </c>
      <c r="K179" s="779"/>
      <c r="M179" s="444">
        <v>5100</v>
      </c>
      <c r="N179">
        <v>35</v>
      </c>
      <c r="P179" s="448"/>
    </row>
    <row r="180" spans="10:16" ht="16.5" thickBot="1" x14ac:dyDescent="0.3">
      <c r="J180">
        <v>36</v>
      </c>
      <c r="K180" s="442">
        <v>10200</v>
      </c>
      <c r="M180" s="444">
        <v>3920</v>
      </c>
      <c r="N180">
        <v>36</v>
      </c>
      <c r="P180" s="450"/>
    </row>
    <row r="181" spans="10:16" ht="16.5" thickBot="1" x14ac:dyDescent="0.3">
      <c r="J181">
        <v>37</v>
      </c>
      <c r="K181" s="442">
        <v>12000</v>
      </c>
      <c r="M181" s="444">
        <v>99000</v>
      </c>
      <c r="N181">
        <v>37</v>
      </c>
      <c r="P181" s="453">
        <v>10000</v>
      </c>
    </row>
    <row r="182" spans="10:16" ht="16.5" thickBot="1" x14ac:dyDescent="0.3">
      <c r="J182">
        <v>38</v>
      </c>
      <c r="K182" s="442">
        <v>8160</v>
      </c>
      <c r="M182" s="444">
        <v>4230</v>
      </c>
      <c r="N182">
        <v>38</v>
      </c>
      <c r="P182" s="448"/>
    </row>
    <row r="183" spans="10:16" ht="16.5" thickBot="1" x14ac:dyDescent="0.3">
      <c r="J183">
        <v>39</v>
      </c>
      <c r="K183" s="442">
        <v>21000</v>
      </c>
      <c r="M183" s="444">
        <v>50200.98</v>
      </c>
      <c r="N183">
        <v>39</v>
      </c>
      <c r="P183" s="447"/>
    </row>
    <row r="184" spans="10:16" ht="16.5" thickBot="1" x14ac:dyDescent="0.3">
      <c r="J184">
        <v>40</v>
      </c>
      <c r="K184" s="442">
        <v>71114.16</v>
      </c>
      <c r="M184" s="444">
        <v>10000</v>
      </c>
      <c r="N184">
        <v>40</v>
      </c>
      <c r="P184" s="445">
        <v>49929</v>
      </c>
    </row>
    <row r="185" spans="10:16" ht="16.5" thickBot="1" x14ac:dyDescent="0.3">
      <c r="J185">
        <v>41</v>
      </c>
      <c r="K185" s="442">
        <v>60000</v>
      </c>
      <c r="M185" s="444">
        <v>50895</v>
      </c>
      <c r="N185">
        <v>41</v>
      </c>
      <c r="P185" s="448"/>
    </row>
    <row r="186" spans="10:16" ht="16.5" thickBot="1" x14ac:dyDescent="0.3">
      <c r="J186">
        <v>42</v>
      </c>
      <c r="K186" s="442">
        <v>25000</v>
      </c>
      <c r="M186" s="444">
        <v>20000</v>
      </c>
      <c r="N186">
        <v>42</v>
      </c>
      <c r="P186" s="454"/>
    </row>
    <row r="187" spans="10:16" ht="16.5" thickBot="1" x14ac:dyDescent="0.3">
      <c r="J187">
        <v>43</v>
      </c>
      <c r="K187" s="442">
        <v>25000</v>
      </c>
      <c r="M187" s="444">
        <v>52810</v>
      </c>
      <c r="N187">
        <v>43</v>
      </c>
      <c r="P187" s="445">
        <v>40000</v>
      </c>
    </row>
    <row r="188" spans="10:16" ht="16.5" thickBot="1" x14ac:dyDescent="0.3">
      <c r="J188">
        <v>44</v>
      </c>
      <c r="K188" s="442">
        <v>99398.29</v>
      </c>
      <c r="M188" s="444">
        <v>39840</v>
      </c>
      <c r="N188">
        <v>44</v>
      </c>
      <c r="P188" s="448"/>
    </row>
    <row r="189" spans="10:16" ht="16.5" thickBot="1" x14ac:dyDescent="0.3">
      <c r="J189">
        <v>45</v>
      </c>
      <c r="K189" s="442">
        <v>99398.29</v>
      </c>
      <c r="M189" s="444">
        <v>50000</v>
      </c>
      <c r="N189">
        <v>45</v>
      </c>
      <c r="P189" s="447"/>
    </row>
    <row r="190" spans="10:16" ht="16.5" thickBot="1" x14ac:dyDescent="0.3">
      <c r="J190">
        <v>46</v>
      </c>
      <c r="K190" s="442">
        <v>42213</v>
      </c>
      <c r="M190" s="444">
        <v>700</v>
      </c>
      <c r="N190">
        <v>46</v>
      </c>
      <c r="P190" s="445">
        <v>89774.88</v>
      </c>
    </row>
    <row r="191" spans="10:16" ht="16.5" thickBot="1" x14ac:dyDescent="0.3">
      <c r="J191">
        <v>47</v>
      </c>
      <c r="K191" s="442">
        <v>99997</v>
      </c>
      <c r="M191" s="444">
        <v>4320</v>
      </c>
      <c r="N191">
        <v>47</v>
      </c>
      <c r="P191" s="448"/>
    </row>
    <row r="192" spans="10:16" ht="16.5" thickBot="1" x14ac:dyDescent="0.3">
      <c r="J192">
        <v>48</v>
      </c>
      <c r="K192" s="442">
        <v>10000</v>
      </c>
      <c r="M192" s="444">
        <v>99997</v>
      </c>
      <c r="N192">
        <v>48</v>
      </c>
      <c r="P192" s="447"/>
    </row>
    <row r="193" spans="10:16" ht="16.5" thickBot="1" x14ac:dyDescent="0.3">
      <c r="J193">
        <v>49</v>
      </c>
      <c r="K193" s="442">
        <v>84000</v>
      </c>
      <c r="M193" s="203">
        <f>SUM(M145:M192)</f>
        <v>1852596.5299999998</v>
      </c>
      <c r="P193" s="445">
        <v>99505</v>
      </c>
    </row>
    <row r="194" spans="10:16" ht="16.5" thickBot="1" x14ac:dyDescent="0.3">
      <c r="J194">
        <v>50</v>
      </c>
      <c r="K194" s="442">
        <v>12000</v>
      </c>
      <c r="P194" s="446"/>
    </row>
    <row r="195" spans="10:16" ht="16.5" thickBot="1" x14ac:dyDescent="0.3">
      <c r="J195">
        <v>51</v>
      </c>
      <c r="K195" s="442">
        <v>99900</v>
      </c>
      <c r="P195" s="447"/>
    </row>
    <row r="196" spans="10:16" ht="16.5" thickBot="1" x14ac:dyDescent="0.3">
      <c r="J196">
        <v>52</v>
      </c>
      <c r="K196" s="442">
        <v>1900</v>
      </c>
      <c r="P196" s="445">
        <v>40000</v>
      </c>
    </row>
    <row r="197" spans="10:16" ht="16.5" thickBot="1" x14ac:dyDescent="0.3">
      <c r="J197">
        <v>53</v>
      </c>
      <c r="K197" s="442">
        <v>17794</v>
      </c>
      <c r="P197" s="448"/>
    </row>
    <row r="198" spans="10:16" ht="16.5" thickBot="1" x14ac:dyDescent="0.3">
      <c r="J198">
        <v>54</v>
      </c>
      <c r="K198" s="442">
        <v>30247.8</v>
      </c>
      <c r="P198" s="455"/>
    </row>
    <row r="199" spans="10:16" ht="16.5" thickBot="1" x14ac:dyDescent="0.3">
      <c r="J199">
        <v>55</v>
      </c>
      <c r="K199" s="442">
        <v>1320</v>
      </c>
      <c r="P199" s="445">
        <v>7500</v>
      </c>
    </row>
    <row r="200" spans="10:16" ht="16.5" thickBot="1" x14ac:dyDescent="0.3">
      <c r="J200">
        <v>56</v>
      </c>
      <c r="K200" s="442">
        <v>3100</v>
      </c>
      <c r="P200" s="449"/>
    </row>
    <row r="201" spans="10:16" ht="16.5" thickBot="1" x14ac:dyDescent="0.3">
      <c r="J201">
        <v>57</v>
      </c>
      <c r="K201" s="442">
        <v>99102</v>
      </c>
      <c r="P201" s="456">
        <v>97769.69</v>
      </c>
    </row>
    <row r="202" spans="10:16" ht="16.5" thickBot="1" x14ac:dyDescent="0.3">
      <c r="J202">
        <v>58</v>
      </c>
      <c r="K202" s="442">
        <v>4990</v>
      </c>
      <c r="P202" s="448"/>
    </row>
    <row r="203" spans="10:16" ht="16.5" thickBot="1" x14ac:dyDescent="0.3">
      <c r="J203">
        <v>59</v>
      </c>
      <c r="K203" s="442">
        <v>65391</v>
      </c>
      <c r="P203" s="447"/>
    </row>
    <row r="204" spans="10:16" ht="16.5" thickBot="1" x14ac:dyDescent="0.3">
      <c r="J204">
        <v>60</v>
      </c>
      <c r="K204" s="442">
        <v>22594.07</v>
      </c>
      <c r="P204" s="445">
        <v>99900</v>
      </c>
    </row>
    <row r="205" spans="10:16" ht="16.5" thickBot="1" x14ac:dyDescent="0.3">
      <c r="J205">
        <v>61</v>
      </c>
      <c r="K205" s="442">
        <v>35588</v>
      </c>
      <c r="P205" s="446"/>
    </row>
    <row r="206" spans="10:16" ht="16.5" thickBot="1" x14ac:dyDescent="0.3">
      <c r="J206">
        <v>62</v>
      </c>
      <c r="K206" s="442">
        <v>30000</v>
      </c>
      <c r="P206" s="447"/>
    </row>
    <row r="207" spans="10:16" ht="16.5" thickBot="1" x14ac:dyDescent="0.3">
      <c r="J207">
        <v>63</v>
      </c>
      <c r="K207" s="442">
        <v>99000</v>
      </c>
      <c r="P207" s="445">
        <v>27139.200000000001</v>
      </c>
    </row>
    <row r="208" spans="10:16" ht="16.5" thickBot="1" x14ac:dyDescent="0.3">
      <c r="J208">
        <v>64</v>
      </c>
      <c r="K208" s="442">
        <v>92100</v>
      </c>
      <c r="P208" s="448"/>
    </row>
    <row r="209" spans="10:16" ht="16.5" thickBot="1" x14ac:dyDescent="0.3">
      <c r="J209">
        <v>65</v>
      </c>
      <c r="K209" s="442">
        <v>30000</v>
      </c>
      <c r="P209" s="447"/>
    </row>
    <row r="210" spans="10:16" ht="16.5" thickBot="1" x14ac:dyDescent="0.3">
      <c r="J210">
        <v>66</v>
      </c>
      <c r="K210" s="442">
        <v>9500</v>
      </c>
      <c r="P210" s="445">
        <v>99900</v>
      </c>
    </row>
    <row r="211" spans="10:16" ht="16.5" thickBot="1" x14ac:dyDescent="0.3">
      <c r="J211">
        <v>67</v>
      </c>
      <c r="K211" s="442">
        <v>14500</v>
      </c>
      <c r="P211" s="448"/>
    </row>
    <row r="212" spans="10:16" ht="16.5" thickBot="1" x14ac:dyDescent="0.3">
      <c r="J212">
        <v>68</v>
      </c>
      <c r="K212" s="442">
        <v>17844</v>
      </c>
      <c r="P212" s="447"/>
    </row>
    <row r="213" spans="10:16" ht="16.5" thickBot="1" x14ac:dyDescent="0.3">
      <c r="J213">
        <v>69</v>
      </c>
      <c r="K213" s="442">
        <v>12000</v>
      </c>
      <c r="P213" s="445">
        <v>14150</v>
      </c>
    </row>
    <row r="214" spans="10:16" ht="16.5" thickBot="1" x14ac:dyDescent="0.3">
      <c r="J214">
        <v>70</v>
      </c>
      <c r="K214" s="442">
        <v>4900</v>
      </c>
      <c r="P214" s="446"/>
    </row>
    <row r="215" spans="10:16" ht="16.5" thickBot="1" x14ac:dyDescent="0.3">
      <c r="J215">
        <v>71</v>
      </c>
      <c r="K215" s="442">
        <v>99999</v>
      </c>
      <c r="P215" s="447"/>
    </row>
    <row r="216" spans="10:16" ht="16.5" thickBot="1" x14ac:dyDescent="0.3">
      <c r="J216">
        <v>72</v>
      </c>
      <c r="K216" s="442">
        <v>40000</v>
      </c>
      <c r="P216" s="445">
        <v>25000</v>
      </c>
    </row>
    <row r="217" spans="10:16" ht="16.5" thickBot="1" x14ac:dyDescent="0.3">
      <c r="J217">
        <v>73</v>
      </c>
      <c r="K217" s="442">
        <v>50000</v>
      </c>
      <c r="P217" s="448"/>
    </row>
    <row r="218" spans="10:16" ht="16.5" thickBot="1" x14ac:dyDescent="0.3">
      <c r="J218">
        <v>74</v>
      </c>
      <c r="K218" s="442">
        <v>95400</v>
      </c>
      <c r="P218" s="447"/>
    </row>
    <row r="219" spans="10:16" ht="16.5" thickBot="1" x14ac:dyDescent="0.3">
      <c r="J219">
        <v>75</v>
      </c>
      <c r="K219" s="442">
        <v>80000</v>
      </c>
      <c r="P219" s="445">
        <v>5172.3</v>
      </c>
    </row>
    <row r="220" spans="10:16" ht="16.5" thickBot="1" x14ac:dyDescent="0.3">
      <c r="J220">
        <v>76</v>
      </c>
      <c r="K220" s="442">
        <v>40000</v>
      </c>
      <c r="P220" s="448"/>
    </row>
    <row r="221" spans="10:16" ht="16.5" thickBot="1" x14ac:dyDescent="0.3">
      <c r="J221">
        <v>77</v>
      </c>
      <c r="K221" s="442">
        <v>35000</v>
      </c>
      <c r="P221" s="447"/>
    </row>
    <row r="222" spans="10:16" ht="16.5" thickBot="1" x14ac:dyDescent="0.3">
      <c r="J222">
        <v>78</v>
      </c>
      <c r="K222" s="442">
        <v>90000</v>
      </c>
      <c r="P222" s="445">
        <v>81702</v>
      </c>
    </row>
    <row r="223" spans="10:16" ht="16.5" thickBot="1" x14ac:dyDescent="0.3">
      <c r="J223">
        <v>79</v>
      </c>
      <c r="K223" s="442">
        <v>24610</v>
      </c>
      <c r="P223" s="446"/>
    </row>
    <row r="224" spans="10:16" ht="16.5" thickBot="1" x14ac:dyDescent="0.3">
      <c r="J224">
        <v>80</v>
      </c>
      <c r="K224" s="442">
        <v>30000</v>
      </c>
      <c r="P224" s="447"/>
    </row>
    <row r="225" spans="10:16" ht="16.5" thickBot="1" x14ac:dyDescent="0.3">
      <c r="J225">
        <v>81</v>
      </c>
      <c r="K225" s="442">
        <v>10193</v>
      </c>
      <c r="P225" s="445">
        <v>97972.85</v>
      </c>
    </row>
    <row r="226" spans="10:16" ht="16.5" thickBot="1" x14ac:dyDescent="0.3">
      <c r="J226">
        <v>82</v>
      </c>
      <c r="K226" s="442">
        <v>1200</v>
      </c>
      <c r="P226" s="448"/>
    </row>
    <row r="227" spans="10:16" ht="16.5" thickBot="1" x14ac:dyDescent="0.3">
      <c r="J227">
        <v>83</v>
      </c>
      <c r="K227" s="442">
        <v>1000</v>
      </c>
      <c r="P227" s="447"/>
    </row>
    <row r="228" spans="10:16" ht="16.5" thickBot="1" x14ac:dyDescent="0.3">
      <c r="J228">
        <v>84</v>
      </c>
      <c r="K228" s="442">
        <v>71418.210000000006</v>
      </c>
      <c r="P228" s="445">
        <v>11716</v>
      </c>
    </row>
    <row r="229" spans="10:16" ht="16.5" thickBot="1" x14ac:dyDescent="0.3">
      <c r="J229">
        <v>85</v>
      </c>
      <c r="K229" s="442">
        <v>81003</v>
      </c>
      <c r="P229" s="448"/>
    </row>
    <row r="230" spans="10:16" ht="16.5" thickBot="1" x14ac:dyDescent="0.3">
      <c r="J230">
        <v>86</v>
      </c>
      <c r="K230" s="442">
        <v>38679</v>
      </c>
      <c r="P230" s="447"/>
    </row>
    <row r="231" spans="10:16" ht="16.5" thickBot="1" x14ac:dyDescent="0.3">
      <c r="J231">
        <v>87</v>
      </c>
      <c r="K231" s="442">
        <v>250000</v>
      </c>
      <c r="P231" s="445">
        <v>30000</v>
      </c>
    </row>
    <row r="232" spans="10:16" ht="16.5" thickBot="1" x14ac:dyDescent="0.3">
      <c r="J232">
        <v>88</v>
      </c>
      <c r="K232" s="442">
        <v>99673.68</v>
      </c>
      <c r="P232" s="446"/>
    </row>
    <row r="233" spans="10:16" ht="16.5" thickBot="1" x14ac:dyDescent="0.3">
      <c r="J233">
        <v>89</v>
      </c>
      <c r="K233" s="442">
        <v>99955</v>
      </c>
      <c r="P233" s="447"/>
    </row>
    <row r="234" spans="10:16" ht="16.5" thickBot="1" x14ac:dyDescent="0.3">
      <c r="J234">
        <v>90</v>
      </c>
      <c r="K234" s="442">
        <v>50000</v>
      </c>
      <c r="P234" s="445">
        <v>99900</v>
      </c>
    </row>
    <row r="235" spans="10:16" ht="16.5" thickBot="1" x14ac:dyDescent="0.3">
      <c r="J235">
        <v>91</v>
      </c>
      <c r="K235" s="442">
        <v>4900</v>
      </c>
      <c r="P235" s="449"/>
    </row>
    <row r="236" spans="10:16" x14ac:dyDescent="0.25">
      <c r="J236">
        <v>92</v>
      </c>
      <c r="K236" s="778">
        <v>35588</v>
      </c>
      <c r="P236" s="445">
        <v>65000</v>
      </c>
    </row>
    <row r="237" spans="10:16" ht="15.75" thickBot="1" x14ac:dyDescent="0.3">
      <c r="J237">
        <v>93</v>
      </c>
      <c r="K237" s="779"/>
      <c r="P237" s="448"/>
    </row>
    <row r="238" spans="10:16" ht="16.5" thickBot="1" x14ac:dyDescent="0.3">
      <c r="J238">
        <v>94</v>
      </c>
      <c r="K238" s="442">
        <v>98500.800000000003</v>
      </c>
      <c r="P238" s="446"/>
    </row>
    <row r="239" spans="10:16" ht="16.5" thickBot="1" x14ac:dyDescent="0.3">
      <c r="J239">
        <v>95</v>
      </c>
      <c r="K239" s="442">
        <v>45000</v>
      </c>
      <c r="P239" s="450"/>
    </row>
    <row r="240" spans="10:16" ht="16.5" thickBot="1" x14ac:dyDescent="0.3">
      <c r="J240">
        <v>96</v>
      </c>
      <c r="K240" s="442">
        <v>59030</v>
      </c>
      <c r="P240" s="445">
        <v>99900</v>
      </c>
    </row>
    <row r="241" spans="10:16" ht="16.5" thickBot="1" x14ac:dyDescent="0.3">
      <c r="J241">
        <v>97</v>
      </c>
      <c r="K241" s="442">
        <v>71580</v>
      </c>
      <c r="P241" s="448"/>
    </row>
    <row r="242" spans="10:16" ht="16.5" thickBot="1" x14ac:dyDescent="0.3">
      <c r="J242">
        <v>98</v>
      </c>
      <c r="K242" s="442">
        <v>11376</v>
      </c>
      <c r="P242" s="447"/>
    </row>
    <row r="243" spans="10:16" ht="16.5" thickBot="1" x14ac:dyDescent="0.3">
      <c r="J243">
        <v>99</v>
      </c>
      <c r="K243" s="442">
        <v>4850</v>
      </c>
      <c r="P243" s="445">
        <v>99000</v>
      </c>
    </row>
    <row r="244" spans="10:16" ht="16.5" thickBot="1" x14ac:dyDescent="0.3">
      <c r="J244">
        <v>100</v>
      </c>
      <c r="K244" s="442">
        <v>20000</v>
      </c>
      <c r="P244" s="446"/>
    </row>
    <row r="245" spans="10:16" ht="16.5" thickBot="1" x14ac:dyDescent="0.3">
      <c r="J245">
        <v>101</v>
      </c>
      <c r="K245" s="442">
        <v>280000</v>
      </c>
      <c r="P245" s="447"/>
    </row>
    <row r="246" spans="10:16" ht="16.5" thickBot="1" x14ac:dyDescent="0.3">
      <c r="J246">
        <v>102</v>
      </c>
      <c r="K246" s="442">
        <v>13701</v>
      </c>
      <c r="P246" s="445">
        <v>99900</v>
      </c>
    </row>
    <row r="247" spans="10:16" ht="16.5" thickBot="1" x14ac:dyDescent="0.3">
      <c r="J247">
        <v>103</v>
      </c>
      <c r="K247" s="442">
        <v>21401</v>
      </c>
      <c r="P247" s="448"/>
    </row>
    <row r="248" spans="10:16" ht="16.5" thickBot="1" x14ac:dyDescent="0.3">
      <c r="J248">
        <v>104</v>
      </c>
      <c r="K248" s="442">
        <v>38500</v>
      </c>
      <c r="P248" s="447"/>
    </row>
    <row r="249" spans="10:16" ht="16.5" thickBot="1" x14ac:dyDescent="0.3">
      <c r="J249">
        <v>105</v>
      </c>
      <c r="K249" s="442">
        <v>12344.47</v>
      </c>
      <c r="P249" s="445">
        <v>99000</v>
      </c>
    </row>
    <row r="250" spans="10:16" ht="16.5" thickBot="1" x14ac:dyDescent="0.3">
      <c r="J250">
        <v>106</v>
      </c>
      <c r="K250" s="442">
        <v>7655.53</v>
      </c>
      <c r="P250" s="448"/>
    </row>
    <row r="251" spans="10:16" ht="16.5" thickBot="1" x14ac:dyDescent="0.3">
      <c r="J251">
        <v>107</v>
      </c>
      <c r="K251" s="442">
        <v>800</v>
      </c>
      <c r="P251" s="447"/>
    </row>
    <row r="252" spans="10:16" ht="16.5" thickBot="1" x14ac:dyDescent="0.3">
      <c r="J252">
        <v>108</v>
      </c>
      <c r="K252" s="442">
        <v>1080</v>
      </c>
      <c r="P252" s="445">
        <v>99999.96</v>
      </c>
    </row>
    <row r="253" spans="10:16" ht="16.5" thickBot="1" x14ac:dyDescent="0.3">
      <c r="J253">
        <v>109</v>
      </c>
      <c r="K253" s="442">
        <v>10613.12</v>
      </c>
      <c r="P253" s="446"/>
    </row>
    <row r="254" spans="10:16" ht="16.5" thickBot="1" x14ac:dyDescent="0.3">
      <c r="J254">
        <v>110</v>
      </c>
      <c r="K254" s="442">
        <v>175651</v>
      </c>
      <c r="P254" s="447"/>
    </row>
    <row r="255" spans="10:16" ht="16.5" thickBot="1" x14ac:dyDescent="0.3">
      <c r="J255">
        <v>111</v>
      </c>
      <c r="K255" s="442">
        <v>95704.03</v>
      </c>
      <c r="P255" s="445">
        <v>99000</v>
      </c>
    </row>
    <row r="256" spans="10:16" ht="16.5" thickBot="1" x14ac:dyDescent="0.3">
      <c r="J256">
        <v>112</v>
      </c>
      <c r="K256" s="442">
        <v>30000</v>
      </c>
      <c r="P256" s="448"/>
    </row>
    <row r="257" spans="10:16" ht="16.5" thickBot="1" x14ac:dyDescent="0.3">
      <c r="J257">
        <v>113</v>
      </c>
      <c r="K257" s="442">
        <v>1300</v>
      </c>
      <c r="P257" s="447"/>
    </row>
    <row r="258" spans="10:16" ht="16.5" thickBot="1" x14ac:dyDescent="0.3">
      <c r="J258">
        <v>114</v>
      </c>
      <c r="K258" s="442">
        <v>38500</v>
      </c>
      <c r="P258" s="445">
        <v>99900</v>
      </c>
    </row>
    <row r="259" spans="10:16" ht="16.5" thickBot="1" x14ac:dyDescent="0.3">
      <c r="J259">
        <v>115</v>
      </c>
      <c r="K259" s="442">
        <v>207120</v>
      </c>
      <c r="P259" s="446"/>
    </row>
    <row r="260" spans="10:16" ht="16.5" thickBot="1" x14ac:dyDescent="0.3">
      <c r="J260">
        <v>116</v>
      </c>
      <c r="K260" s="442">
        <v>221189</v>
      </c>
      <c r="P260" s="447"/>
    </row>
    <row r="261" spans="10:16" ht="16.5" thickBot="1" x14ac:dyDescent="0.3">
      <c r="J261">
        <v>117</v>
      </c>
      <c r="K261" s="442">
        <v>258876</v>
      </c>
      <c r="P261" s="445">
        <v>76245.039999999994</v>
      </c>
    </row>
    <row r="262" spans="10:16" ht="16.5" thickBot="1" x14ac:dyDescent="0.3">
      <c r="J262">
        <v>118</v>
      </c>
      <c r="K262" s="442">
        <v>276696</v>
      </c>
      <c r="P262" s="448"/>
    </row>
    <row r="263" spans="10:16" ht="16.5" thickBot="1" x14ac:dyDescent="0.3">
      <c r="J263">
        <v>119</v>
      </c>
      <c r="K263" s="442">
        <v>75000</v>
      </c>
      <c r="P263" s="447"/>
    </row>
    <row r="264" spans="10:16" ht="16.5" thickBot="1" x14ac:dyDescent="0.3">
      <c r="J264">
        <v>120</v>
      </c>
      <c r="K264" s="442">
        <v>150000</v>
      </c>
      <c r="P264" s="445">
        <v>50391.519999999997</v>
      </c>
    </row>
    <row r="265" spans="10:16" ht="16.5" thickBot="1" x14ac:dyDescent="0.3">
      <c r="J265">
        <v>121</v>
      </c>
      <c r="K265" s="442">
        <v>50000</v>
      </c>
      <c r="P265" s="448"/>
    </row>
    <row r="266" spans="10:16" ht="16.5" thickBot="1" x14ac:dyDescent="0.3">
      <c r="J266">
        <v>122</v>
      </c>
      <c r="K266" s="442">
        <v>32152</v>
      </c>
      <c r="P266" s="447"/>
    </row>
    <row r="267" spans="10:16" ht="16.5" thickBot="1" x14ac:dyDescent="0.3">
      <c r="J267">
        <v>123</v>
      </c>
      <c r="K267" s="442">
        <v>25669</v>
      </c>
      <c r="P267" s="445">
        <v>43700</v>
      </c>
    </row>
    <row r="268" spans="10:16" ht="16.5" thickBot="1" x14ac:dyDescent="0.3">
      <c r="J268">
        <v>124</v>
      </c>
      <c r="K268" s="442">
        <v>98909</v>
      </c>
      <c r="P268" s="449"/>
    </row>
    <row r="269" spans="10:16" ht="16.5" thickBot="1" x14ac:dyDescent="0.3">
      <c r="J269">
        <v>125</v>
      </c>
      <c r="K269" s="442">
        <v>30756.93</v>
      </c>
      <c r="P269" s="445">
        <v>30000</v>
      </c>
    </row>
    <row r="270" spans="10:16" ht="16.5" thickBot="1" x14ac:dyDescent="0.3">
      <c r="J270">
        <v>126</v>
      </c>
      <c r="K270" s="442">
        <v>1990</v>
      </c>
      <c r="P270" s="449"/>
    </row>
    <row r="271" spans="10:16" ht="16.5" thickBot="1" x14ac:dyDescent="0.3">
      <c r="J271">
        <v>127</v>
      </c>
      <c r="K271" s="442">
        <v>84732</v>
      </c>
      <c r="P271" s="457" t="s">
        <v>130</v>
      </c>
    </row>
    <row r="272" spans="10:16" ht="16.5" thickBot="1" x14ac:dyDescent="0.3">
      <c r="J272">
        <v>128</v>
      </c>
      <c r="K272" s="442">
        <v>146090</v>
      </c>
      <c r="P272" s="449"/>
    </row>
    <row r="273" spans="10:16" ht="16.5" thickBot="1" x14ac:dyDescent="0.3">
      <c r="J273">
        <v>129</v>
      </c>
      <c r="K273" s="442">
        <v>15000</v>
      </c>
      <c r="P273" s="445">
        <v>99896</v>
      </c>
    </row>
    <row r="274" spans="10:16" ht="16.5" thickBot="1" x14ac:dyDescent="0.3">
      <c r="J274">
        <v>130</v>
      </c>
      <c r="K274" s="442">
        <v>5000</v>
      </c>
      <c r="P274" s="446"/>
    </row>
    <row r="275" spans="10:16" ht="16.5" thickBot="1" x14ac:dyDescent="0.3">
      <c r="J275">
        <v>131</v>
      </c>
      <c r="K275" s="442">
        <v>20000</v>
      </c>
      <c r="P275" s="447"/>
    </row>
    <row r="276" spans="10:16" ht="16.5" thickBot="1" x14ac:dyDescent="0.3">
      <c r="J276">
        <v>132</v>
      </c>
      <c r="K276" s="442">
        <v>4320</v>
      </c>
      <c r="P276" s="445">
        <v>70000</v>
      </c>
    </row>
    <row r="277" spans="10:16" ht="16.5" thickBot="1" x14ac:dyDescent="0.3">
      <c r="J277">
        <v>133</v>
      </c>
      <c r="K277" s="442">
        <v>33612</v>
      </c>
      <c r="P277" s="448"/>
    </row>
    <row r="278" spans="10:16" ht="16.5" thickBot="1" x14ac:dyDescent="0.3">
      <c r="J278">
        <v>134</v>
      </c>
      <c r="K278" s="442">
        <v>14735.2</v>
      </c>
      <c r="P278" s="448"/>
    </row>
    <row r="279" spans="10:16" ht="16.5" thickBot="1" x14ac:dyDescent="0.3">
      <c r="J279">
        <v>135</v>
      </c>
      <c r="K279" s="442">
        <v>30000</v>
      </c>
      <c r="P279" s="454"/>
    </row>
    <row r="280" spans="10:16" ht="16.5" thickBot="1" x14ac:dyDescent="0.3">
      <c r="J280">
        <v>136</v>
      </c>
      <c r="K280" s="442">
        <v>15000</v>
      </c>
      <c r="P280" s="445">
        <v>88302.96</v>
      </c>
    </row>
    <row r="281" spans="10:16" ht="16.5" thickBot="1" x14ac:dyDescent="0.3">
      <c r="J281">
        <v>137</v>
      </c>
      <c r="K281" s="442">
        <v>5000</v>
      </c>
      <c r="P281" s="448"/>
    </row>
    <row r="282" spans="10:16" ht="16.5" thickBot="1" x14ac:dyDescent="0.3">
      <c r="J282">
        <v>138</v>
      </c>
      <c r="K282" s="442">
        <v>12500</v>
      </c>
      <c r="P282" s="447"/>
    </row>
    <row r="283" spans="10:16" ht="16.5" thickBot="1" x14ac:dyDescent="0.3">
      <c r="J283">
        <v>139</v>
      </c>
      <c r="K283" s="442">
        <v>99900</v>
      </c>
      <c r="P283" s="445">
        <v>6000</v>
      </c>
    </row>
    <row r="284" spans="10:16" ht="16.5" thickBot="1" x14ac:dyDescent="0.3">
      <c r="J284">
        <v>140</v>
      </c>
      <c r="K284" s="442">
        <v>25138</v>
      </c>
      <c r="P284" s="446"/>
    </row>
    <row r="285" spans="10:16" ht="16.5" thickBot="1" x14ac:dyDescent="0.3">
      <c r="J285">
        <v>141</v>
      </c>
      <c r="K285" s="442">
        <v>49181</v>
      </c>
      <c r="P285" s="447"/>
    </row>
    <row r="286" spans="10:16" ht="16.5" thickBot="1" x14ac:dyDescent="0.3">
      <c r="J286">
        <v>142</v>
      </c>
      <c r="K286" s="442">
        <v>72500</v>
      </c>
      <c r="P286" s="445">
        <v>60000</v>
      </c>
    </row>
    <row r="287" spans="10:16" ht="16.5" thickBot="1" x14ac:dyDescent="0.3">
      <c r="J287">
        <v>143</v>
      </c>
      <c r="K287" s="442">
        <v>4100</v>
      </c>
      <c r="M287">
        <f>K286+K287</f>
        <v>76600</v>
      </c>
      <c r="P287" s="448"/>
    </row>
    <row r="288" spans="10:16" ht="15.75" thickBot="1" x14ac:dyDescent="0.3">
      <c r="K288">
        <f>SUM(K145:K287)</f>
        <v>7150086.0599999996</v>
      </c>
      <c r="P288" s="447"/>
    </row>
    <row r="289" spans="16:16" x14ac:dyDescent="0.25">
      <c r="P289" s="445">
        <v>18496</v>
      </c>
    </row>
    <row r="290" spans="16:16" ht="15.75" thickBot="1" x14ac:dyDescent="0.3">
      <c r="P290" s="449"/>
    </row>
    <row r="291" spans="16:16" x14ac:dyDescent="0.25">
      <c r="P291" s="445">
        <v>15024</v>
      </c>
    </row>
    <row r="292" spans="16:16" ht="15.75" thickBot="1" x14ac:dyDescent="0.3">
      <c r="P292" s="449"/>
    </row>
    <row r="293" spans="16:16" x14ac:dyDescent="0.25">
      <c r="P293" s="445">
        <v>59939.24</v>
      </c>
    </row>
    <row r="294" spans="16:16" ht="15.75" thickBot="1" x14ac:dyDescent="0.3">
      <c r="P294" s="449"/>
    </row>
    <row r="295" spans="16:16" x14ac:dyDescent="0.25">
      <c r="P295" s="445">
        <v>201319</v>
      </c>
    </row>
    <row r="296" spans="16:16" x14ac:dyDescent="0.25">
      <c r="P296" s="448"/>
    </row>
    <row r="297" spans="16:16" ht="15.75" thickBot="1" x14ac:dyDescent="0.3">
      <c r="P297" s="454"/>
    </row>
    <row r="298" spans="16:16" x14ac:dyDescent="0.25">
      <c r="P298" s="445">
        <v>26088</v>
      </c>
    </row>
    <row r="299" spans="16:16" ht="15.75" thickBot="1" x14ac:dyDescent="0.3">
      <c r="P299" s="449"/>
    </row>
    <row r="300" spans="16:16" x14ac:dyDescent="0.25">
      <c r="P300" s="445">
        <v>12500</v>
      </c>
    </row>
    <row r="301" spans="16:16" x14ac:dyDescent="0.25">
      <c r="P301" s="446"/>
    </row>
    <row r="302" spans="16:16" ht="15.75" thickBot="1" x14ac:dyDescent="0.3">
      <c r="P302" s="447"/>
    </row>
    <row r="303" spans="16:16" x14ac:dyDescent="0.25">
      <c r="P303" s="445">
        <v>3500</v>
      </c>
    </row>
    <row r="304" spans="16:16" x14ac:dyDescent="0.25">
      <c r="P304" s="448"/>
    </row>
    <row r="305" spans="16:16" ht="15.75" thickBot="1" x14ac:dyDescent="0.3">
      <c r="P305" s="450"/>
    </row>
    <row r="306" spans="16:16" x14ac:dyDescent="0.25">
      <c r="P306" s="445">
        <v>65000</v>
      </c>
    </row>
    <row r="307" spans="16:16" ht="15.75" thickBot="1" x14ac:dyDescent="0.3">
      <c r="P307" s="449"/>
    </row>
    <row r="308" spans="16:16" x14ac:dyDescent="0.25">
      <c r="P308" s="445">
        <v>60000</v>
      </c>
    </row>
    <row r="309" spans="16:16" ht="15.75" thickBot="1" x14ac:dyDescent="0.3">
      <c r="P309" s="449"/>
    </row>
    <row r="310" spans="16:16" x14ac:dyDescent="0.25">
      <c r="P310" s="445">
        <v>3900</v>
      </c>
    </row>
    <row r="311" spans="16:16" x14ac:dyDescent="0.25">
      <c r="P311" s="448"/>
    </row>
    <row r="312" spans="16:16" ht="15.75" thickBot="1" x14ac:dyDescent="0.3">
      <c r="P312" s="447"/>
    </row>
    <row r="313" spans="16:16" x14ac:dyDescent="0.25">
      <c r="P313" s="445">
        <v>21930</v>
      </c>
    </row>
    <row r="314" spans="16:16" x14ac:dyDescent="0.25">
      <c r="P314" s="446"/>
    </row>
    <row r="315" spans="16:16" ht="15.75" thickBot="1" x14ac:dyDescent="0.3">
      <c r="P315" s="447"/>
    </row>
    <row r="316" spans="16:16" x14ac:dyDescent="0.25">
      <c r="P316" s="445">
        <v>10000</v>
      </c>
    </row>
    <row r="317" spans="16:16" x14ac:dyDescent="0.25">
      <c r="P317" s="448"/>
    </row>
    <row r="318" spans="16:16" ht="15.75" thickBot="1" x14ac:dyDescent="0.3">
      <c r="P318" s="447"/>
    </row>
    <row r="319" spans="16:16" x14ac:dyDescent="0.25">
      <c r="P319" s="445">
        <v>57904.11</v>
      </c>
    </row>
    <row r="320" spans="16:16" ht="15.75" thickBot="1" x14ac:dyDescent="0.3">
      <c r="P320" s="449"/>
    </row>
    <row r="321" spans="16:16" x14ac:dyDescent="0.25">
      <c r="P321" s="456">
        <v>4926.92</v>
      </c>
    </row>
    <row r="322" spans="16:16" ht="15.75" thickBot="1" x14ac:dyDescent="0.3">
      <c r="P322" s="449"/>
    </row>
    <row r="323" spans="16:16" x14ac:dyDescent="0.25">
      <c r="P323" s="445">
        <v>4516.34</v>
      </c>
    </row>
    <row r="324" spans="16:16" ht="15.75" thickBot="1" x14ac:dyDescent="0.3">
      <c r="P324" s="449"/>
    </row>
    <row r="325" spans="16:16" x14ac:dyDescent="0.25">
      <c r="P325" s="457" t="s">
        <v>131</v>
      </c>
    </row>
    <row r="326" spans="16:16" x14ac:dyDescent="0.25">
      <c r="P326" s="448"/>
    </row>
    <row r="327" spans="16:16" ht="15.75" thickBot="1" x14ac:dyDescent="0.3">
      <c r="P327" s="447"/>
    </row>
    <row r="328" spans="16:16" x14ac:dyDescent="0.25">
      <c r="P328" s="445">
        <v>299500</v>
      </c>
    </row>
    <row r="329" spans="16:16" x14ac:dyDescent="0.25">
      <c r="P329" s="448"/>
    </row>
    <row r="330" spans="16:16" ht="15.75" thickBot="1" x14ac:dyDescent="0.3">
      <c r="P330" s="454"/>
    </row>
    <row r="331" spans="16:16" x14ac:dyDescent="0.25">
      <c r="P331" s="445">
        <v>295500</v>
      </c>
    </row>
    <row r="332" spans="16:16" x14ac:dyDescent="0.25">
      <c r="P332" s="448"/>
    </row>
    <row r="333" spans="16:16" ht="15.75" thickBot="1" x14ac:dyDescent="0.3">
      <c r="P333" s="450"/>
    </row>
    <row r="334" spans="16:16" x14ac:dyDescent="0.25">
      <c r="P334" s="445">
        <v>9090</v>
      </c>
    </row>
    <row r="335" spans="16:16" x14ac:dyDescent="0.25">
      <c r="P335" s="448"/>
    </row>
    <row r="336" spans="16:16" ht="15.75" thickBot="1" x14ac:dyDescent="0.3">
      <c r="P336" s="447"/>
    </row>
    <row r="337" spans="16:16" x14ac:dyDescent="0.25">
      <c r="P337" s="445">
        <v>43300.13</v>
      </c>
    </row>
    <row r="338" spans="16:16" x14ac:dyDescent="0.25">
      <c r="P338" s="448"/>
    </row>
    <row r="339" spans="16:16" ht="15.75" thickBot="1" x14ac:dyDescent="0.3">
      <c r="P339" s="447"/>
    </row>
    <row r="340" spans="16:16" x14ac:dyDescent="0.25">
      <c r="P340" s="445">
        <v>67999.87</v>
      </c>
    </row>
    <row r="341" spans="16:16" x14ac:dyDescent="0.25">
      <c r="P341" s="208">
        <f>SUM(P146:P340)</f>
        <v>4216086.0199999996</v>
      </c>
    </row>
  </sheetData>
  <mergeCells count="103">
    <mergeCell ref="K151:K152"/>
    <mergeCell ref="K173:K174"/>
    <mergeCell ref="K178:K179"/>
    <mergeCell ref="K236:K237"/>
    <mergeCell ref="B163:C163"/>
    <mergeCell ref="B164:C164"/>
    <mergeCell ref="B160:C160"/>
    <mergeCell ref="B161:C161"/>
    <mergeCell ref="B162:C162"/>
    <mergeCell ref="B156:C156"/>
    <mergeCell ref="B157:C157"/>
    <mergeCell ref="B158:C158"/>
    <mergeCell ref="B159:C159"/>
    <mergeCell ref="B153:C153"/>
    <mergeCell ref="B154:C154"/>
    <mergeCell ref="B155:C155"/>
    <mergeCell ref="B150:C150"/>
    <mergeCell ref="B151:C151"/>
    <mergeCell ref="B152:C152"/>
    <mergeCell ref="B146:C146"/>
    <mergeCell ref="B147:C147"/>
    <mergeCell ref="B148:C148"/>
    <mergeCell ref="B149:C149"/>
    <mergeCell ref="B143:C143"/>
    <mergeCell ref="B144:C144"/>
    <mergeCell ref="B141:C141"/>
    <mergeCell ref="B142:C142"/>
    <mergeCell ref="D2:Q2"/>
    <mergeCell ref="G3:N3"/>
    <mergeCell ref="R5:T5"/>
    <mergeCell ref="A6:A11"/>
    <mergeCell ref="B6:C11"/>
    <mergeCell ref="D6:F11"/>
    <mergeCell ref="G6:I11"/>
    <mergeCell ref="J6:L6"/>
    <mergeCell ref="M6:O6"/>
    <mergeCell ref="P6:R6"/>
    <mergeCell ref="J7:L7"/>
    <mergeCell ref="M7:O7"/>
    <mergeCell ref="P7:R7"/>
    <mergeCell ref="J8:L8"/>
    <mergeCell ref="M8:O8"/>
    <mergeCell ref="P8:R8"/>
    <mergeCell ref="J9:L9"/>
    <mergeCell ref="M9:O9"/>
    <mergeCell ref="P9:R9"/>
    <mergeCell ref="J10:L10"/>
    <mergeCell ref="M10:O10"/>
    <mergeCell ref="P10:R10"/>
    <mergeCell ref="J11:L11"/>
    <mergeCell ref="M11:O11"/>
    <mergeCell ref="B12:C12"/>
    <mergeCell ref="E12:E13"/>
    <mergeCell ref="F12:F13"/>
    <mergeCell ref="H12:H13"/>
    <mergeCell ref="I12:I13"/>
    <mergeCell ref="K12:K13"/>
    <mergeCell ref="L12:L13"/>
    <mergeCell ref="N12:N13"/>
    <mergeCell ref="B27:C27"/>
    <mergeCell ref="O12:O13"/>
    <mergeCell ref="Q12:Q13"/>
    <mergeCell ref="R12:R13"/>
    <mergeCell ref="B14:C14"/>
    <mergeCell ref="B16:C16"/>
    <mergeCell ref="B17:C17"/>
    <mergeCell ref="B20:C20"/>
    <mergeCell ref="B21:C21"/>
    <mergeCell ref="B23:C23"/>
    <mergeCell ref="B24:C24"/>
    <mergeCell ref="B25:C25"/>
    <mergeCell ref="B56:C56"/>
    <mergeCell ref="B57:C57"/>
    <mergeCell ref="B43:C43"/>
    <mergeCell ref="B28:C28"/>
    <mergeCell ref="B29:C29"/>
    <mergeCell ref="B31:C31"/>
    <mergeCell ref="B32:C32"/>
    <mergeCell ref="B33:C33"/>
    <mergeCell ref="B35:C35"/>
    <mergeCell ref="B36:C36"/>
    <mergeCell ref="B37:C37"/>
    <mergeCell ref="B39:C39"/>
    <mergeCell ref="B40:C40"/>
    <mergeCell ref="B41:C41"/>
    <mergeCell ref="B44:C44"/>
    <mergeCell ref="B45:C45"/>
    <mergeCell ref="B47:C47"/>
    <mergeCell ref="B48:C48"/>
    <mergeCell ref="B49:C49"/>
    <mergeCell ref="B51:C51"/>
    <mergeCell ref="B52:C52"/>
    <mergeCell ref="B53:C53"/>
    <mergeCell ref="B55:C55"/>
    <mergeCell ref="B68:C68"/>
    <mergeCell ref="B69:C69"/>
    <mergeCell ref="B60:C60"/>
    <mergeCell ref="B61:C61"/>
    <mergeCell ref="B63:C63"/>
    <mergeCell ref="B64:C64"/>
    <mergeCell ref="B65:C65"/>
    <mergeCell ref="B67:C67"/>
    <mergeCell ref="B59:C59"/>
  </mergeCells>
  <pageMargins left="0" right="0" top="0" bottom="0" header="0" footer="0"/>
  <pageSetup paperSize="9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1"/>
  <sheetViews>
    <sheetView topLeftCell="A55" zoomScaleNormal="100" workbookViewId="0">
      <selection activeCell="F59" sqref="F59"/>
    </sheetView>
  </sheetViews>
  <sheetFormatPr defaultRowHeight="15" x14ac:dyDescent="0.25"/>
  <cols>
    <col min="1" max="1" width="3.42578125" customWidth="1"/>
    <col min="2" max="2" width="13.5703125" bestFit="1" customWidth="1"/>
    <col min="3" max="3" width="11.85546875" customWidth="1"/>
    <col min="4" max="4" width="10.5703125" customWidth="1"/>
    <col min="5" max="5" width="11.5703125" customWidth="1"/>
    <col min="6" max="6" width="10.85546875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9.8554687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19" max="19" width="12.42578125" bestFit="1" customWidth="1"/>
    <col min="21" max="21" width="14.42578125" customWidth="1"/>
    <col min="22" max="22" width="13.42578125" customWidth="1"/>
    <col min="23" max="23" width="15.7109375" customWidth="1"/>
    <col min="24" max="24" width="14.42578125" customWidth="1"/>
    <col min="25" max="25" width="13.28515625" bestFit="1" customWidth="1"/>
    <col min="26" max="26" width="13.5703125" bestFit="1" customWidth="1"/>
  </cols>
  <sheetData>
    <row r="1" spans="1:26" x14ac:dyDescent="0.25">
      <c r="R1" s="26" t="s">
        <v>24</v>
      </c>
      <c r="S1" s="26"/>
    </row>
    <row r="2" spans="1:26" ht="18.75" x14ac:dyDescent="0.25">
      <c r="D2" s="736" t="s">
        <v>26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</row>
    <row r="3" spans="1:26" ht="24.75" customHeight="1" x14ac:dyDescent="0.25">
      <c r="F3" s="62"/>
      <c r="G3" s="736" t="s">
        <v>127</v>
      </c>
      <c r="H3" s="737"/>
      <c r="I3" s="737"/>
      <c r="J3" s="737"/>
      <c r="K3" s="737"/>
      <c r="L3" s="737"/>
      <c r="M3" s="737"/>
      <c r="N3" s="737"/>
      <c r="O3" s="62"/>
      <c r="P3" s="62"/>
    </row>
    <row r="4" spans="1:26" ht="12" customHeight="1" thickBot="1" x14ac:dyDescent="0.3">
      <c r="D4" s="18"/>
      <c r="E4" s="19"/>
      <c r="F4" s="19"/>
      <c r="G4" s="15"/>
      <c r="H4" s="19"/>
      <c r="I4" s="15"/>
      <c r="R4" s="739" t="s">
        <v>27</v>
      </c>
      <c r="S4" s="739"/>
      <c r="T4" s="739"/>
    </row>
    <row r="5" spans="1:26" ht="15" customHeight="1" x14ac:dyDescent="0.25">
      <c r="A5" s="766" t="s">
        <v>28</v>
      </c>
      <c r="B5" s="754" t="s">
        <v>29</v>
      </c>
      <c r="C5" s="755"/>
      <c r="D5" s="771" t="s">
        <v>2</v>
      </c>
      <c r="E5" s="754"/>
      <c r="F5" s="755"/>
      <c r="G5" s="754" t="s">
        <v>3</v>
      </c>
      <c r="H5" s="754"/>
      <c r="I5" s="755"/>
      <c r="J5" s="773"/>
      <c r="K5" s="774"/>
      <c r="L5" s="775"/>
      <c r="M5" s="771"/>
      <c r="N5" s="754"/>
      <c r="O5" s="754"/>
      <c r="P5" s="771"/>
      <c r="Q5" s="754"/>
      <c r="R5" s="755"/>
      <c r="S5" s="123"/>
      <c r="T5" s="124"/>
    </row>
    <row r="6" spans="1:26" ht="15" customHeight="1" x14ac:dyDescent="0.25">
      <c r="A6" s="767"/>
      <c r="B6" s="758"/>
      <c r="C6" s="759"/>
      <c r="D6" s="757"/>
      <c r="E6" s="758"/>
      <c r="F6" s="759"/>
      <c r="G6" s="758"/>
      <c r="H6" s="758"/>
      <c r="I6" s="759"/>
      <c r="J6" s="757"/>
      <c r="K6" s="758"/>
      <c r="L6" s="759"/>
      <c r="M6" s="757"/>
      <c r="N6" s="758"/>
      <c r="O6" s="758"/>
      <c r="P6" s="757"/>
      <c r="Q6" s="758"/>
      <c r="R6" s="759"/>
      <c r="S6" s="125"/>
      <c r="T6" s="126"/>
    </row>
    <row r="7" spans="1:26" x14ac:dyDescent="0.25">
      <c r="A7" s="767"/>
      <c r="B7" s="758"/>
      <c r="C7" s="759"/>
      <c r="D7" s="757"/>
      <c r="E7" s="758"/>
      <c r="F7" s="759"/>
      <c r="G7" s="758"/>
      <c r="H7" s="758"/>
      <c r="I7" s="759"/>
      <c r="J7" s="757"/>
      <c r="K7" s="758"/>
      <c r="L7" s="759"/>
      <c r="M7" s="757"/>
      <c r="N7" s="758"/>
      <c r="O7" s="758"/>
      <c r="P7" s="757"/>
      <c r="Q7" s="758"/>
      <c r="R7" s="759"/>
      <c r="S7" s="125"/>
      <c r="T7" s="126"/>
    </row>
    <row r="8" spans="1:26" ht="15" customHeight="1" x14ac:dyDescent="0.25">
      <c r="A8" s="767"/>
      <c r="B8" s="758"/>
      <c r="C8" s="759"/>
      <c r="D8" s="757"/>
      <c r="E8" s="758"/>
      <c r="F8" s="759"/>
      <c r="G8" s="758"/>
      <c r="H8" s="758"/>
      <c r="I8" s="759"/>
      <c r="J8" s="757" t="s">
        <v>4</v>
      </c>
      <c r="K8" s="758"/>
      <c r="L8" s="758"/>
      <c r="M8" s="757" t="s">
        <v>5</v>
      </c>
      <c r="N8" s="758"/>
      <c r="O8" s="759"/>
      <c r="P8" s="757" t="s">
        <v>5</v>
      </c>
      <c r="Q8" s="758"/>
      <c r="R8" s="759"/>
      <c r="S8" s="125"/>
      <c r="T8" s="126"/>
    </row>
    <row r="9" spans="1:26" x14ac:dyDescent="0.25">
      <c r="A9" s="767"/>
      <c r="B9" s="758"/>
      <c r="C9" s="759"/>
      <c r="D9" s="757"/>
      <c r="E9" s="758"/>
      <c r="F9" s="759"/>
      <c r="G9" s="758"/>
      <c r="H9" s="758"/>
      <c r="I9" s="759"/>
      <c r="J9" s="760"/>
      <c r="K9" s="761"/>
      <c r="L9" s="762"/>
      <c r="M9" s="763" t="s">
        <v>40</v>
      </c>
      <c r="N9" s="764"/>
      <c r="O9" s="765"/>
      <c r="P9" s="763" t="s">
        <v>95</v>
      </c>
      <c r="Q9" s="764"/>
      <c r="R9" s="765"/>
      <c r="S9" s="125"/>
      <c r="T9" s="126"/>
    </row>
    <row r="10" spans="1:26" ht="15.75" thickBot="1" x14ac:dyDescent="0.3">
      <c r="A10" s="768"/>
      <c r="B10" s="769"/>
      <c r="C10" s="770"/>
      <c r="D10" s="772"/>
      <c r="E10" s="769"/>
      <c r="F10" s="770"/>
      <c r="G10" s="769"/>
      <c r="H10" s="769"/>
      <c r="I10" s="770"/>
      <c r="J10" s="751"/>
      <c r="K10" s="752"/>
      <c r="L10" s="753"/>
      <c r="M10" s="751"/>
      <c r="N10" s="752"/>
      <c r="O10" s="752"/>
      <c r="P10" s="127"/>
      <c r="Q10" s="128"/>
      <c r="R10" s="129"/>
      <c r="S10" s="130"/>
      <c r="T10" s="328"/>
      <c r="U10" s="27"/>
      <c r="V10" s="27"/>
    </row>
    <row r="11" spans="1:26" ht="72" customHeight="1" thickBot="1" x14ac:dyDescent="0.3">
      <c r="A11" s="329"/>
      <c r="B11" s="754" t="s">
        <v>30</v>
      </c>
      <c r="C11" s="755"/>
      <c r="D11" s="133" t="s">
        <v>37</v>
      </c>
      <c r="E11" s="749" t="s">
        <v>9</v>
      </c>
      <c r="F11" s="747" t="s">
        <v>39</v>
      </c>
      <c r="G11" s="133" t="s">
        <v>38</v>
      </c>
      <c r="H11" s="749" t="s">
        <v>9</v>
      </c>
      <c r="I11" s="747" t="s">
        <v>39</v>
      </c>
      <c r="J11" s="133" t="s">
        <v>38</v>
      </c>
      <c r="K11" s="749" t="s">
        <v>11</v>
      </c>
      <c r="L11" s="747" t="s">
        <v>39</v>
      </c>
      <c r="M11" s="133" t="s">
        <v>38</v>
      </c>
      <c r="N11" s="749" t="s">
        <v>9</v>
      </c>
      <c r="O11" s="747" t="s">
        <v>39</v>
      </c>
      <c r="P11" s="133" t="s">
        <v>38</v>
      </c>
      <c r="Q11" s="749" t="s">
        <v>9</v>
      </c>
      <c r="R11" s="747" t="s">
        <v>39</v>
      </c>
      <c r="S11" s="134" t="s">
        <v>17</v>
      </c>
      <c r="T11" s="330" t="s">
        <v>18</v>
      </c>
      <c r="U11" s="27"/>
      <c r="V11" s="27"/>
    </row>
    <row r="12" spans="1:26" ht="15.75" hidden="1" customHeight="1" thickBot="1" x14ac:dyDescent="0.3">
      <c r="A12" s="329"/>
      <c r="B12" s="136"/>
      <c r="C12" s="136"/>
      <c r="D12" s="137" t="s">
        <v>8</v>
      </c>
      <c r="E12" s="756"/>
      <c r="F12" s="748"/>
      <c r="G12" s="138" t="s">
        <v>8</v>
      </c>
      <c r="H12" s="750"/>
      <c r="I12" s="748"/>
      <c r="J12" s="138" t="s">
        <v>8</v>
      </c>
      <c r="K12" s="750"/>
      <c r="L12" s="748"/>
      <c r="M12" s="138" t="s">
        <v>8</v>
      </c>
      <c r="N12" s="750"/>
      <c r="O12" s="748"/>
      <c r="P12" s="138" t="s">
        <v>8</v>
      </c>
      <c r="Q12" s="750"/>
      <c r="R12" s="748"/>
      <c r="S12" s="134"/>
      <c r="T12" s="134"/>
      <c r="U12" s="27"/>
      <c r="V12" s="27"/>
    </row>
    <row r="13" spans="1:26" ht="15.75" thickBot="1" x14ac:dyDescent="0.3">
      <c r="A13" s="63">
        <v>1</v>
      </c>
      <c r="B13" s="734">
        <v>2</v>
      </c>
      <c r="C13" s="735"/>
      <c r="D13" s="327">
        <v>3</v>
      </c>
      <c r="E13" s="324">
        <v>4</v>
      </c>
      <c r="F13" s="326">
        <v>5</v>
      </c>
      <c r="G13" s="325">
        <v>6</v>
      </c>
      <c r="H13" s="326">
        <v>7</v>
      </c>
      <c r="I13" s="326">
        <v>8</v>
      </c>
      <c r="J13" s="326">
        <v>9</v>
      </c>
      <c r="K13" s="326">
        <v>10</v>
      </c>
      <c r="L13" s="326">
        <v>11</v>
      </c>
      <c r="M13" s="326">
        <v>12</v>
      </c>
      <c r="N13" s="326">
        <v>13</v>
      </c>
      <c r="O13" s="326">
        <v>14</v>
      </c>
      <c r="P13" s="326">
        <v>15</v>
      </c>
      <c r="Q13" s="326">
        <v>16</v>
      </c>
      <c r="R13" s="326">
        <v>17</v>
      </c>
      <c r="S13" s="327">
        <v>18</v>
      </c>
      <c r="T13" s="327">
        <v>19</v>
      </c>
      <c r="U13" s="27"/>
      <c r="V13" s="27"/>
    </row>
    <row r="14" spans="1:26" ht="15" customHeight="1" x14ac:dyDescent="0.25">
      <c r="A14" s="89" t="s">
        <v>31</v>
      </c>
      <c r="B14" s="148" t="s">
        <v>32</v>
      </c>
      <c r="C14" s="149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52"/>
      <c r="V14" s="152"/>
      <c r="W14" s="46"/>
    </row>
    <row r="15" spans="1:26" ht="35.25" customHeight="1" x14ac:dyDescent="0.25">
      <c r="A15" s="90"/>
      <c r="B15" s="726" t="s">
        <v>73</v>
      </c>
      <c r="C15" s="727"/>
      <c r="D15" s="92">
        <v>10685966.460000001</v>
      </c>
      <c r="E15" s="92">
        <v>8614212.6300000008</v>
      </c>
      <c r="F15" s="92">
        <f>D15-E15</f>
        <v>2071753.83</v>
      </c>
      <c r="G15" s="91"/>
      <c r="H15" s="91"/>
      <c r="I15" s="91"/>
      <c r="J15" s="91"/>
      <c r="K15" s="91"/>
      <c r="L15" s="91"/>
      <c r="M15" s="92">
        <v>137583.51999999999</v>
      </c>
      <c r="N15" s="92">
        <v>111336.94</v>
      </c>
      <c r="O15" s="91">
        <f>M15-N15</f>
        <v>26246.579999999987</v>
      </c>
      <c r="P15" s="92">
        <v>450000</v>
      </c>
      <c r="Q15" s="92">
        <v>450000</v>
      </c>
      <c r="R15" s="91">
        <f>P15-Q15</f>
        <v>0</v>
      </c>
      <c r="S15" s="91">
        <f>F15+I15+L15+O15+R15</f>
        <v>2098000.41</v>
      </c>
      <c r="T15" s="91"/>
      <c r="U15" s="215"/>
      <c r="V15" s="408"/>
      <c r="W15" s="409"/>
      <c r="X15" s="336"/>
      <c r="Y15" s="342"/>
      <c r="Z15" s="336"/>
    </row>
    <row r="16" spans="1:26" ht="36" customHeight="1" thickBot="1" x14ac:dyDescent="0.3">
      <c r="A16" s="53"/>
      <c r="B16" s="730" t="s">
        <v>74</v>
      </c>
      <c r="C16" s="731"/>
      <c r="D16" s="75">
        <v>12790829.5</v>
      </c>
      <c r="E16" s="75">
        <v>12790829.5</v>
      </c>
      <c r="F16" s="75">
        <f>D16-E16</f>
        <v>0</v>
      </c>
      <c r="G16" s="75"/>
      <c r="H16" s="75"/>
      <c r="I16" s="75">
        <f>G16-H16</f>
        <v>0</v>
      </c>
      <c r="J16" s="75"/>
      <c r="K16" s="75"/>
      <c r="L16" s="75"/>
      <c r="M16" s="75"/>
      <c r="N16" s="75"/>
      <c r="O16" s="75"/>
      <c r="P16" s="75"/>
      <c r="Q16" s="75"/>
      <c r="R16" s="75">
        <f t="shared" ref="R16:R69" si="0">P16-Q16</f>
        <v>0</v>
      </c>
      <c r="S16" s="75">
        <f t="shared" ref="S16:S40" si="1">F16+I16+L16+O16+R16</f>
        <v>0</v>
      </c>
      <c r="T16" s="75"/>
      <c r="U16" s="152"/>
      <c r="V16" s="410"/>
      <c r="W16" s="411"/>
      <c r="X16" s="339"/>
      <c r="Y16" s="337"/>
      <c r="Z16" s="339"/>
    </row>
    <row r="17" spans="1:26" ht="15" customHeight="1" thickBot="1" x14ac:dyDescent="0.3">
      <c r="A17" s="93"/>
      <c r="B17" s="94" t="s">
        <v>23</v>
      </c>
      <c r="C17" s="61"/>
      <c r="D17" s="71">
        <f>D15+D16</f>
        <v>23476795.960000001</v>
      </c>
      <c r="E17" s="71">
        <f>E15+E16</f>
        <v>21405042.130000003</v>
      </c>
      <c r="F17" s="77">
        <f>D17-E17</f>
        <v>2071753.8299999982</v>
      </c>
      <c r="G17" s="73">
        <f t="shared" ref="G17:R17" si="2">G16+G14</f>
        <v>0</v>
      </c>
      <c r="H17" s="73">
        <f t="shared" si="2"/>
        <v>0</v>
      </c>
      <c r="I17" s="72">
        <f t="shared" si="2"/>
        <v>0</v>
      </c>
      <c r="J17" s="73">
        <f t="shared" si="2"/>
        <v>0</v>
      </c>
      <c r="K17" s="73">
        <f t="shared" si="2"/>
        <v>0</v>
      </c>
      <c r="L17" s="72">
        <f t="shared" si="2"/>
        <v>0</v>
      </c>
      <c r="M17" s="73">
        <f>M15</f>
        <v>137583.51999999999</v>
      </c>
      <c r="N17" s="73">
        <f>N15</f>
        <v>111336.94</v>
      </c>
      <c r="O17" s="72">
        <f>O15</f>
        <v>26246.579999999987</v>
      </c>
      <c r="P17" s="73">
        <f>P15</f>
        <v>450000</v>
      </c>
      <c r="Q17" s="73">
        <f>Q15</f>
        <v>450000</v>
      </c>
      <c r="R17" s="72">
        <f t="shared" si="2"/>
        <v>0</v>
      </c>
      <c r="S17" s="104">
        <f>S16+S15</f>
        <v>2098000.41</v>
      </c>
      <c r="T17" s="196"/>
      <c r="U17" s="200"/>
      <c r="V17" s="412"/>
      <c r="W17" s="341"/>
      <c r="X17" s="409"/>
      <c r="Y17" s="341"/>
      <c r="Z17" s="336"/>
    </row>
    <row r="18" spans="1:26" x14ac:dyDescent="0.25">
      <c r="A18" s="33" t="s">
        <v>33</v>
      </c>
      <c r="B18" s="150" t="s">
        <v>34</v>
      </c>
      <c r="C18" s="15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152"/>
      <c r="V18" s="410"/>
      <c r="W18" s="409"/>
      <c r="X18" s="339"/>
      <c r="Y18" s="409"/>
      <c r="Z18" s="336"/>
    </row>
    <row r="19" spans="1:26" ht="36.75" customHeight="1" x14ac:dyDescent="0.25">
      <c r="A19" s="33"/>
      <c r="B19" s="726" t="s">
        <v>73</v>
      </c>
      <c r="C19" s="727"/>
      <c r="D19" s="92">
        <v>16422818.74</v>
      </c>
      <c r="E19" s="92">
        <v>15461306.939999999</v>
      </c>
      <c r="F19" s="92">
        <f t="shared" ref="F19:F40" si="3">D19-E19</f>
        <v>961511.80000000075</v>
      </c>
      <c r="G19" s="92">
        <v>198909.6</v>
      </c>
      <c r="H19" s="92">
        <v>113000</v>
      </c>
      <c r="I19" s="92">
        <f t="shared" ref="I19:I69" si="4">G19-H19</f>
        <v>85909.6</v>
      </c>
      <c r="J19" s="92">
        <v>525000</v>
      </c>
      <c r="K19" s="92">
        <v>510000</v>
      </c>
      <c r="L19" s="92">
        <f>J19-K19</f>
        <v>15000</v>
      </c>
      <c r="M19" s="92">
        <v>7214.2</v>
      </c>
      <c r="N19" s="92">
        <v>7214.2</v>
      </c>
      <c r="O19" s="92">
        <f>M19-N19</f>
        <v>0</v>
      </c>
      <c r="P19" s="92">
        <v>2283836.7999999998</v>
      </c>
      <c r="Q19" s="92">
        <v>2283836.7999999998</v>
      </c>
      <c r="R19" s="92">
        <f t="shared" ref="R19" si="5">P19-Q19</f>
        <v>0</v>
      </c>
      <c r="S19" s="92">
        <f t="shared" ref="S19" si="6">F19+I19+L19+O19+R19</f>
        <v>1062421.4000000008</v>
      </c>
      <c r="T19" s="92"/>
      <c r="U19" s="152"/>
      <c r="V19" s="410"/>
      <c r="W19" s="409"/>
      <c r="X19" s="409"/>
      <c r="Y19" s="339"/>
      <c r="Z19" s="336"/>
    </row>
    <row r="20" spans="1:26" ht="36" customHeight="1" thickBot="1" x14ac:dyDescent="0.3">
      <c r="A20" s="33"/>
      <c r="B20" s="730" t="s">
        <v>74</v>
      </c>
      <c r="C20" s="731"/>
      <c r="D20" s="75">
        <v>111364037.03</v>
      </c>
      <c r="E20" s="75">
        <v>111360708.43000001</v>
      </c>
      <c r="F20" s="75">
        <f t="shared" si="3"/>
        <v>3328.5999999940395</v>
      </c>
      <c r="G20" s="75">
        <v>218750</v>
      </c>
      <c r="H20" s="75">
        <v>218750</v>
      </c>
      <c r="I20" s="75">
        <f t="shared" si="4"/>
        <v>0</v>
      </c>
      <c r="J20" s="75"/>
      <c r="K20" s="75"/>
      <c r="L20" s="75"/>
      <c r="M20" s="75"/>
      <c r="N20" s="75"/>
      <c r="O20" s="75"/>
      <c r="P20" s="75"/>
      <c r="Q20" s="75"/>
      <c r="R20" s="75">
        <f t="shared" si="0"/>
        <v>0</v>
      </c>
      <c r="S20" s="75">
        <f t="shared" si="1"/>
        <v>3328.5999999940395</v>
      </c>
      <c r="T20" s="75"/>
      <c r="U20" s="152"/>
      <c r="V20" s="410"/>
      <c r="W20" s="409"/>
      <c r="X20" s="409"/>
      <c r="Y20" s="409"/>
      <c r="Z20" s="336"/>
    </row>
    <row r="21" spans="1:26" ht="15.75" customHeight="1" thickBot="1" x14ac:dyDescent="0.3">
      <c r="A21" s="66"/>
      <c r="B21" s="94" t="s">
        <v>23</v>
      </c>
      <c r="C21" s="61"/>
      <c r="D21" s="88">
        <f>D19+D20</f>
        <v>127786855.77</v>
      </c>
      <c r="E21" s="76">
        <f>E19+E20</f>
        <v>126822015.37</v>
      </c>
      <c r="F21" s="77">
        <f>D21-E21</f>
        <v>964840.39999999106</v>
      </c>
      <c r="G21" s="76">
        <f>G19+G20</f>
        <v>417659.6</v>
      </c>
      <c r="H21" s="76">
        <f>H19+H20</f>
        <v>331750</v>
      </c>
      <c r="I21" s="77">
        <f t="shared" ref="I21:Q21" si="7">I19</f>
        <v>85909.6</v>
      </c>
      <c r="J21" s="76">
        <f t="shared" si="7"/>
        <v>525000</v>
      </c>
      <c r="K21" s="76">
        <f t="shared" si="7"/>
        <v>510000</v>
      </c>
      <c r="L21" s="77">
        <f t="shared" si="7"/>
        <v>15000</v>
      </c>
      <c r="M21" s="76">
        <f t="shared" si="7"/>
        <v>7214.2</v>
      </c>
      <c r="N21" s="76">
        <f t="shared" si="7"/>
        <v>7214.2</v>
      </c>
      <c r="O21" s="77">
        <f t="shared" si="7"/>
        <v>0</v>
      </c>
      <c r="P21" s="76">
        <f t="shared" si="7"/>
        <v>2283836.7999999998</v>
      </c>
      <c r="Q21" s="76">
        <f t="shared" si="7"/>
        <v>2283836.7999999998</v>
      </c>
      <c r="R21" s="77">
        <f t="shared" ref="R21" si="8">R18+R20</f>
        <v>0</v>
      </c>
      <c r="S21" s="104">
        <f>S19+S20</f>
        <v>1065749.9999999949</v>
      </c>
      <c r="T21" s="60"/>
      <c r="U21" s="200"/>
      <c r="V21" s="412"/>
      <c r="W21" s="341"/>
      <c r="X21" s="339"/>
      <c r="Y21" s="341"/>
      <c r="Z21" s="340"/>
    </row>
    <row r="22" spans="1:26" ht="16.5" customHeight="1" x14ac:dyDescent="0.25">
      <c r="A22" s="33" t="s">
        <v>36</v>
      </c>
      <c r="B22" s="745" t="s">
        <v>35</v>
      </c>
      <c r="C22" s="74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52"/>
      <c r="V22" s="410"/>
      <c r="W22" s="409"/>
      <c r="X22" s="339"/>
      <c r="Y22" s="409"/>
      <c r="Z22" s="336"/>
    </row>
    <row r="23" spans="1:26" ht="35.25" customHeight="1" thickBot="1" x14ac:dyDescent="0.3">
      <c r="A23" s="33"/>
      <c r="B23" s="726" t="s">
        <v>73</v>
      </c>
      <c r="C23" s="727"/>
      <c r="D23" s="92">
        <v>4544483</v>
      </c>
      <c r="E23" s="92">
        <v>4058960.63</v>
      </c>
      <c r="F23" s="75">
        <f>D23-E23</f>
        <v>485522.37000000011</v>
      </c>
      <c r="G23" s="92">
        <v>499998</v>
      </c>
      <c r="H23" s="92">
        <v>474998</v>
      </c>
      <c r="I23" s="92">
        <f>G23-H23</f>
        <v>25000</v>
      </c>
      <c r="J23" s="92">
        <v>500000</v>
      </c>
      <c r="K23" s="92">
        <v>298000</v>
      </c>
      <c r="L23" s="92">
        <f>J23-K23</f>
        <v>202000</v>
      </c>
      <c r="M23" s="92"/>
      <c r="N23" s="92"/>
      <c r="O23" s="92"/>
      <c r="P23" s="92">
        <v>850000</v>
      </c>
      <c r="Q23" s="92">
        <v>850000</v>
      </c>
      <c r="R23" s="92">
        <f>P23-Q23</f>
        <v>0</v>
      </c>
      <c r="S23" s="75">
        <f t="shared" si="1"/>
        <v>712522.37000000011</v>
      </c>
      <c r="T23" s="92"/>
      <c r="U23" s="152"/>
      <c r="V23" s="410"/>
      <c r="W23" s="409"/>
      <c r="X23" s="409"/>
      <c r="Y23" s="409"/>
      <c r="Z23" s="336"/>
    </row>
    <row r="24" spans="1:26" ht="34.5" customHeight="1" thickBot="1" x14ac:dyDescent="0.3">
      <c r="A24" s="33"/>
      <c r="B24" s="730" t="s">
        <v>74</v>
      </c>
      <c r="C24" s="731"/>
      <c r="D24" s="75">
        <v>3582000</v>
      </c>
      <c r="E24" s="75">
        <v>3579812.5</v>
      </c>
      <c r="F24" s="75">
        <f t="shared" si="3"/>
        <v>2187.5</v>
      </c>
      <c r="G24" s="75">
        <v>350000</v>
      </c>
      <c r="H24" s="75">
        <v>350000</v>
      </c>
      <c r="I24" s="75">
        <f t="shared" si="4"/>
        <v>0</v>
      </c>
      <c r="J24" s="75"/>
      <c r="K24" s="75"/>
      <c r="L24" s="75"/>
      <c r="M24" s="75"/>
      <c r="N24" s="75"/>
      <c r="O24" s="75"/>
      <c r="P24" s="75"/>
      <c r="Q24" s="75"/>
      <c r="R24" s="75">
        <f t="shared" si="0"/>
        <v>0</v>
      </c>
      <c r="S24" s="75">
        <f t="shared" si="1"/>
        <v>2187.5</v>
      </c>
      <c r="T24" s="75"/>
      <c r="U24" s="152"/>
      <c r="V24" s="410"/>
      <c r="W24" s="409"/>
      <c r="X24" s="339"/>
      <c r="Y24" s="409"/>
      <c r="Z24" s="340"/>
    </row>
    <row r="25" spans="1:26" ht="15.75" thickBot="1" x14ac:dyDescent="0.3">
      <c r="A25" s="66"/>
      <c r="B25" s="64" t="s">
        <v>23</v>
      </c>
      <c r="C25" s="59"/>
      <c r="D25" s="76">
        <f>D23+D24</f>
        <v>8126483</v>
      </c>
      <c r="E25" s="76">
        <f>E23+E24</f>
        <v>7638773.1299999999</v>
      </c>
      <c r="F25" s="77">
        <f>D25-E25</f>
        <v>487709.87000000011</v>
      </c>
      <c r="G25" s="76">
        <f>SUM(G23:G24)</f>
        <v>849998</v>
      </c>
      <c r="H25" s="76">
        <f>SUM(H23:H24)</f>
        <v>824998</v>
      </c>
      <c r="I25" s="77">
        <f>I23+I24</f>
        <v>25000</v>
      </c>
      <c r="J25" s="76">
        <f>J23+J24</f>
        <v>500000</v>
      </c>
      <c r="K25" s="76">
        <f t="shared" ref="K25:L25" si="9">K23+K24</f>
        <v>298000</v>
      </c>
      <c r="L25" s="77">
        <f t="shared" si="9"/>
        <v>202000</v>
      </c>
      <c r="M25" s="76">
        <f t="shared" ref="M25:O25" si="10">M22+M24</f>
        <v>0</v>
      </c>
      <c r="N25" s="76">
        <f t="shared" si="10"/>
        <v>0</v>
      </c>
      <c r="O25" s="77">
        <f t="shared" si="10"/>
        <v>0</v>
      </c>
      <c r="P25" s="76">
        <f>P23</f>
        <v>850000</v>
      </c>
      <c r="Q25" s="76">
        <f>Q23</f>
        <v>850000</v>
      </c>
      <c r="R25" s="77">
        <f>R23</f>
        <v>0</v>
      </c>
      <c r="S25" s="104">
        <f>S23+S24</f>
        <v>714709.87000000011</v>
      </c>
      <c r="T25" s="193"/>
      <c r="U25" s="200"/>
      <c r="V25" s="412"/>
      <c r="W25" s="341"/>
      <c r="X25" s="339"/>
      <c r="Y25" s="341"/>
      <c r="Z25" s="336"/>
    </row>
    <row r="26" spans="1:26" x14ac:dyDescent="0.25">
      <c r="A26" s="33" t="s">
        <v>42</v>
      </c>
      <c r="B26" s="745" t="s">
        <v>41</v>
      </c>
      <c r="C26" s="74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52"/>
      <c r="V26" s="410"/>
      <c r="W26" s="409"/>
      <c r="X26" s="409"/>
      <c r="Y26" s="409"/>
      <c r="Z26" s="336"/>
    </row>
    <row r="27" spans="1:26" ht="34.5" customHeight="1" x14ac:dyDescent="0.25">
      <c r="A27" s="33"/>
      <c r="B27" s="726" t="s">
        <v>73</v>
      </c>
      <c r="C27" s="727"/>
      <c r="D27" s="92"/>
      <c r="E27" s="92"/>
      <c r="F27" s="92">
        <f t="shared" si="3"/>
        <v>0</v>
      </c>
      <c r="G27" s="92"/>
      <c r="H27" s="92"/>
      <c r="I27" s="92">
        <f>G27-H27</f>
        <v>0</v>
      </c>
      <c r="J27" s="92">
        <v>2683200</v>
      </c>
      <c r="K27" s="92">
        <v>2683200</v>
      </c>
      <c r="L27" s="92">
        <f>J27-K27</f>
        <v>0</v>
      </c>
      <c r="M27" s="92"/>
      <c r="N27" s="92"/>
      <c r="O27" s="92"/>
      <c r="P27" s="92">
        <v>4130620.9</v>
      </c>
      <c r="Q27" s="92">
        <v>4130620.9</v>
      </c>
      <c r="R27" s="92">
        <f t="shared" si="0"/>
        <v>0</v>
      </c>
      <c r="S27" s="92">
        <f t="shared" si="1"/>
        <v>0</v>
      </c>
      <c r="T27" s="92"/>
      <c r="U27" s="152"/>
      <c r="V27" s="410"/>
      <c r="W27" s="409"/>
      <c r="X27" s="409"/>
      <c r="Y27" s="409"/>
      <c r="Z27" s="336"/>
    </row>
    <row r="28" spans="1:26" ht="33.75" customHeight="1" thickBot="1" x14ac:dyDescent="0.3">
      <c r="A28" s="33"/>
      <c r="B28" s="730" t="s">
        <v>74</v>
      </c>
      <c r="C28" s="731"/>
      <c r="D28" s="92">
        <v>44576206.710000001</v>
      </c>
      <c r="E28" s="92">
        <v>43161330.609999999</v>
      </c>
      <c r="F28" s="92">
        <f t="shared" si="3"/>
        <v>1414876.1000000015</v>
      </c>
      <c r="G28" s="92"/>
      <c r="H28" s="92"/>
      <c r="I28" s="75">
        <f>G28-H28</f>
        <v>0</v>
      </c>
      <c r="J28" s="75"/>
      <c r="K28" s="75"/>
      <c r="L28" s="75"/>
      <c r="M28" s="92"/>
      <c r="N28" s="92"/>
      <c r="O28" s="92">
        <f>M28-N28</f>
        <v>0</v>
      </c>
      <c r="P28" s="75"/>
      <c r="Q28" s="75"/>
      <c r="R28" s="75">
        <f t="shared" si="0"/>
        <v>0</v>
      </c>
      <c r="S28" s="75">
        <f t="shared" si="1"/>
        <v>1414876.1000000015</v>
      </c>
      <c r="T28" s="75"/>
      <c r="U28" s="152"/>
      <c r="V28" s="410"/>
      <c r="W28" s="409"/>
      <c r="X28" s="409"/>
      <c r="Y28" s="409"/>
      <c r="Z28" s="336"/>
    </row>
    <row r="29" spans="1:26" ht="15.75" thickBot="1" x14ac:dyDescent="0.3">
      <c r="A29" s="66"/>
      <c r="B29" s="95" t="s">
        <v>23</v>
      </c>
      <c r="C29" s="59"/>
      <c r="D29" s="76">
        <f>SUM(D26:D28)</f>
        <v>44576206.710000001</v>
      </c>
      <c r="E29" s="76">
        <f t="shared" ref="E29:S29" si="11">SUM(E26:E28)</f>
        <v>43161330.609999999</v>
      </c>
      <c r="F29" s="77">
        <f t="shared" si="3"/>
        <v>1414876.1000000015</v>
      </c>
      <c r="G29" s="76">
        <f>SUM(G26:G28)</f>
        <v>0</v>
      </c>
      <c r="H29" s="76">
        <f>SUM(H26:H28)</f>
        <v>0</v>
      </c>
      <c r="I29" s="77">
        <f t="shared" si="11"/>
        <v>0</v>
      </c>
      <c r="J29" s="76">
        <f t="shared" si="11"/>
        <v>2683200</v>
      </c>
      <c r="K29" s="76">
        <f t="shared" si="11"/>
        <v>2683200</v>
      </c>
      <c r="L29" s="77">
        <f t="shared" si="11"/>
        <v>0</v>
      </c>
      <c r="M29" s="76">
        <f t="shared" si="11"/>
        <v>0</v>
      </c>
      <c r="N29" s="76">
        <f t="shared" si="11"/>
        <v>0</v>
      </c>
      <c r="O29" s="77">
        <f t="shared" si="11"/>
        <v>0</v>
      </c>
      <c r="P29" s="76">
        <f t="shared" si="11"/>
        <v>4130620.9</v>
      </c>
      <c r="Q29" s="76">
        <f t="shared" si="11"/>
        <v>4130620.9</v>
      </c>
      <c r="R29" s="111">
        <f t="shared" si="11"/>
        <v>0</v>
      </c>
      <c r="S29" s="104">
        <f t="shared" si="11"/>
        <v>1414876.1000000015</v>
      </c>
      <c r="T29" s="96"/>
      <c r="U29" s="200"/>
      <c r="V29" s="412"/>
      <c r="W29" s="341"/>
      <c r="X29" s="339"/>
      <c r="Y29" s="341"/>
      <c r="Z29" s="340"/>
    </row>
    <row r="30" spans="1:26" x14ac:dyDescent="0.25">
      <c r="A30" s="33" t="s">
        <v>45</v>
      </c>
      <c r="B30" s="745" t="s">
        <v>43</v>
      </c>
      <c r="C30" s="74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109"/>
      <c r="S30" s="78"/>
      <c r="T30" s="110"/>
      <c r="U30" s="152"/>
      <c r="V30" s="410"/>
      <c r="W30" s="409"/>
      <c r="X30" s="339"/>
      <c r="Y30" s="409"/>
      <c r="Z30" s="336"/>
    </row>
    <row r="31" spans="1:26" ht="33" customHeight="1" x14ac:dyDescent="0.25">
      <c r="A31" s="33"/>
      <c r="B31" s="726" t="s">
        <v>73</v>
      </c>
      <c r="C31" s="727"/>
      <c r="D31" s="92">
        <v>475000</v>
      </c>
      <c r="E31" s="92">
        <v>451250</v>
      </c>
      <c r="F31" s="92">
        <f t="shared" ref="F31" si="12">D31-E31</f>
        <v>23750</v>
      </c>
      <c r="G31" s="92">
        <v>450001.15</v>
      </c>
      <c r="H31" s="92">
        <v>445000</v>
      </c>
      <c r="I31" s="92">
        <f t="shared" si="4"/>
        <v>5001.1500000000233</v>
      </c>
      <c r="J31" s="92">
        <v>1200000</v>
      </c>
      <c r="K31" s="92">
        <v>1100000</v>
      </c>
      <c r="L31" s="92">
        <f>J31-K31</f>
        <v>100000</v>
      </c>
      <c r="M31" s="92">
        <v>214152.9</v>
      </c>
      <c r="N31" s="92">
        <v>213459.94</v>
      </c>
      <c r="O31" s="92">
        <f>M31-N31</f>
        <v>692.95999999999185</v>
      </c>
      <c r="P31" s="92">
        <v>1233854.3999999999</v>
      </c>
      <c r="Q31" s="92">
        <v>1233854.3999999999</v>
      </c>
      <c r="R31" s="112">
        <f t="shared" ref="R31" si="13">P31-Q31</f>
        <v>0</v>
      </c>
      <c r="S31" s="92">
        <f>F31+I31+L31+O31+R31</f>
        <v>129444.11000000002</v>
      </c>
      <c r="T31" s="114"/>
      <c r="U31" s="215"/>
      <c r="V31" s="408"/>
      <c r="W31" s="409"/>
      <c r="X31" s="409"/>
      <c r="Y31" s="342"/>
      <c r="Z31" s="336"/>
    </row>
    <row r="32" spans="1:26" ht="39" customHeight="1" thickBot="1" x14ac:dyDescent="0.3">
      <c r="A32" s="33"/>
      <c r="B32" s="730" t="s">
        <v>74</v>
      </c>
      <c r="C32" s="731"/>
      <c r="D32" s="75">
        <v>8583042.8000000007</v>
      </c>
      <c r="E32" s="75">
        <v>8583042.8000000007</v>
      </c>
      <c r="F32" s="75">
        <f t="shared" si="3"/>
        <v>0</v>
      </c>
      <c r="G32" s="75">
        <v>1150000</v>
      </c>
      <c r="H32" s="75">
        <v>1044000</v>
      </c>
      <c r="I32" s="75">
        <f t="shared" si="4"/>
        <v>106000</v>
      </c>
      <c r="J32" s="75"/>
      <c r="K32" s="75"/>
      <c r="L32" s="75"/>
      <c r="M32" s="75"/>
      <c r="N32" s="75"/>
      <c r="O32" s="75"/>
      <c r="P32" s="75"/>
      <c r="Q32" s="75"/>
      <c r="R32" s="113">
        <f t="shared" si="0"/>
        <v>0</v>
      </c>
      <c r="S32" s="75">
        <f>F32+I32+L32+O32+R32</f>
        <v>106000</v>
      </c>
      <c r="T32" s="115"/>
      <c r="U32" s="215"/>
      <c r="V32" s="408"/>
      <c r="W32" s="339"/>
      <c r="X32" s="339"/>
      <c r="Y32" s="409"/>
      <c r="Z32" s="340"/>
    </row>
    <row r="33" spans="1:26" ht="15.75" thickBot="1" x14ac:dyDescent="0.3">
      <c r="A33" s="93"/>
      <c r="B33" s="94" t="s">
        <v>23</v>
      </c>
      <c r="C33" s="61"/>
      <c r="D33" s="88">
        <f>SUM(D30:D32)</f>
        <v>9058042.8000000007</v>
      </c>
      <c r="E33" s="88">
        <f t="shared" ref="E33:F33" si="14">SUM(E30:E32)</f>
        <v>9034292.8000000007</v>
      </c>
      <c r="F33" s="77">
        <f t="shared" si="14"/>
        <v>23750</v>
      </c>
      <c r="G33" s="76">
        <f t="shared" ref="G33:R33" si="15">G31+G32</f>
        <v>1600001.15</v>
      </c>
      <c r="H33" s="76">
        <f t="shared" si="15"/>
        <v>1489000</v>
      </c>
      <c r="I33" s="77">
        <f t="shared" si="15"/>
        <v>111001.15000000002</v>
      </c>
      <c r="J33" s="76">
        <f t="shared" si="15"/>
        <v>1200000</v>
      </c>
      <c r="K33" s="76">
        <f t="shared" si="15"/>
        <v>1100000</v>
      </c>
      <c r="L33" s="77">
        <f t="shared" si="15"/>
        <v>100000</v>
      </c>
      <c r="M33" s="76">
        <f t="shared" si="15"/>
        <v>214152.9</v>
      </c>
      <c r="N33" s="76">
        <f t="shared" si="15"/>
        <v>213459.94</v>
      </c>
      <c r="O33" s="77">
        <f t="shared" si="15"/>
        <v>692.95999999999185</v>
      </c>
      <c r="P33" s="76">
        <f t="shared" si="15"/>
        <v>1233854.3999999999</v>
      </c>
      <c r="Q33" s="76">
        <f t="shared" si="15"/>
        <v>1233854.3999999999</v>
      </c>
      <c r="R33" s="76">
        <f t="shared" si="15"/>
        <v>0</v>
      </c>
      <c r="S33" s="104">
        <f>F33+I33+L33+O33+R33</f>
        <v>235444.11000000002</v>
      </c>
      <c r="T33" s="60"/>
      <c r="U33" s="200"/>
      <c r="V33" s="412"/>
      <c r="W33" s="341"/>
      <c r="X33" s="339"/>
      <c r="Y33" s="341"/>
      <c r="Z33" s="336"/>
    </row>
    <row r="34" spans="1:26" x14ac:dyDescent="0.25">
      <c r="A34" s="33" t="s">
        <v>46</v>
      </c>
      <c r="B34" s="745" t="s">
        <v>44</v>
      </c>
      <c r="C34" s="746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52"/>
      <c r="V34" s="410"/>
      <c r="W34" s="409"/>
      <c r="X34" s="409"/>
      <c r="Y34" s="409"/>
      <c r="Z34" s="336"/>
    </row>
    <row r="35" spans="1:26" ht="33.75" customHeight="1" x14ac:dyDescent="0.25">
      <c r="A35" s="33"/>
      <c r="B35" s="726" t="s">
        <v>73</v>
      </c>
      <c r="C35" s="727"/>
      <c r="D35" s="92">
        <v>15742588</v>
      </c>
      <c r="E35" s="92">
        <v>14276621.32</v>
      </c>
      <c r="F35" s="92">
        <f t="shared" ref="F35" si="16">D35-E35</f>
        <v>1465966.6799999997</v>
      </c>
      <c r="G35" s="92"/>
      <c r="H35" s="92"/>
      <c r="I35" s="92">
        <f t="shared" ref="I35" si="17">G35-H35</f>
        <v>0</v>
      </c>
      <c r="J35" s="335">
        <v>3499401.31</v>
      </c>
      <c r="K35" s="92"/>
      <c r="L35" s="92"/>
      <c r="M35" s="92">
        <v>141709.5</v>
      </c>
      <c r="N35" s="92">
        <v>141709.5</v>
      </c>
      <c r="O35" s="92">
        <f>M35-N35</f>
        <v>0</v>
      </c>
      <c r="P35" s="92">
        <v>1100000</v>
      </c>
      <c r="Q35" s="92">
        <v>1100000</v>
      </c>
      <c r="R35" s="92">
        <f t="shared" ref="R35" si="18">P35-Q35</f>
        <v>0</v>
      </c>
      <c r="S35" s="92">
        <f t="shared" ref="S35" si="19">F35+I35+L35+O35+R35</f>
        <v>1465966.6799999997</v>
      </c>
      <c r="T35" s="92"/>
      <c r="U35" s="152"/>
      <c r="V35" s="410"/>
      <c r="W35" s="409"/>
      <c r="X35" s="409"/>
      <c r="Y35" s="342"/>
      <c r="Z35" s="336"/>
    </row>
    <row r="36" spans="1:26" ht="36.75" customHeight="1" thickBot="1" x14ac:dyDescent="0.3">
      <c r="A36" s="33"/>
      <c r="B36" s="724" t="s">
        <v>74</v>
      </c>
      <c r="C36" s="725"/>
      <c r="D36" s="75">
        <v>7402960</v>
      </c>
      <c r="E36" s="75">
        <v>7402960</v>
      </c>
      <c r="F36" s="75">
        <f t="shared" si="3"/>
        <v>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>
        <f t="shared" si="0"/>
        <v>0</v>
      </c>
      <c r="S36" s="75">
        <f t="shared" si="1"/>
        <v>0</v>
      </c>
      <c r="T36" s="75"/>
      <c r="U36" s="215"/>
      <c r="V36" s="408"/>
      <c r="W36" s="409"/>
      <c r="X36" s="409"/>
      <c r="Y36" s="409"/>
      <c r="Z36" s="336"/>
    </row>
    <row r="37" spans="1:26" ht="13.5" customHeight="1" thickBot="1" x14ac:dyDescent="0.3">
      <c r="A37" s="66"/>
      <c r="B37" s="64" t="s">
        <v>23</v>
      </c>
      <c r="C37" s="94"/>
      <c r="D37" s="76">
        <f>SUM(D34:D36)</f>
        <v>23145548</v>
      </c>
      <c r="E37" s="76">
        <f t="shared" ref="E37:R37" si="20">SUM(E34:E36)</f>
        <v>21679581.32</v>
      </c>
      <c r="F37" s="77">
        <f>D37-E37</f>
        <v>1465966.6799999997</v>
      </c>
      <c r="G37" s="76">
        <f t="shared" si="20"/>
        <v>0</v>
      </c>
      <c r="H37" s="76">
        <f t="shared" si="20"/>
        <v>0</v>
      </c>
      <c r="I37" s="77">
        <f t="shared" si="20"/>
        <v>0</v>
      </c>
      <c r="J37" s="288">
        <f t="shared" si="20"/>
        <v>3499401.31</v>
      </c>
      <c r="K37" s="76">
        <f t="shared" si="20"/>
        <v>0</v>
      </c>
      <c r="L37" s="77">
        <f t="shared" si="20"/>
        <v>0</v>
      </c>
      <c r="M37" s="76">
        <f t="shared" si="20"/>
        <v>141709.5</v>
      </c>
      <c r="N37" s="76">
        <f t="shared" si="20"/>
        <v>141709.5</v>
      </c>
      <c r="O37" s="77">
        <f t="shared" si="20"/>
        <v>0</v>
      </c>
      <c r="P37" s="76">
        <f t="shared" si="20"/>
        <v>1100000</v>
      </c>
      <c r="Q37" s="76">
        <f t="shared" si="20"/>
        <v>1100000</v>
      </c>
      <c r="R37" s="77">
        <f t="shared" si="20"/>
        <v>0</v>
      </c>
      <c r="S37" s="104">
        <f>SUM(S34:S36)</f>
        <v>1465966.6799999997</v>
      </c>
      <c r="T37" s="60"/>
      <c r="U37" s="200"/>
      <c r="V37" s="412"/>
      <c r="W37" s="341"/>
      <c r="X37" s="339"/>
      <c r="Y37" s="341"/>
      <c r="Z37" s="340"/>
    </row>
    <row r="38" spans="1:26" x14ac:dyDescent="0.25">
      <c r="A38" s="33" t="s">
        <v>49</v>
      </c>
      <c r="B38" s="745" t="s">
        <v>47</v>
      </c>
      <c r="C38" s="746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52"/>
      <c r="V38" s="410"/>
      <c r="W38" s="409"/>
      <c r="X38" s="339"/>
      <c r="Y38" s="409"/>
      <c r="Z38" s="336"/>
    </row>
    <row r="39" spans="1:26" ht="33.75" customHeight="1" x14ac:dyDescent="0.25">
      <c r="A39" s="33"/>
      <c r="B39" s="726" t="s">
        <v>73</v>
      </c>
      <c r="C39" s="727"/>
      <c r="D39" s="92">
        <v>1947318.59</v>
      </c>
      <c r="E39" s="92">
        <v>1644942.05</v>
      </c>
      <c r="F39" s="92">
        <f t="shared" si="3"/>
        <v>302376.54000000004</v>
      </c>
      <c r="G39" s="92">
        <v>263361</v>
      </c>
      <c r="H39" s="92">
        <v>220000</v>
      </c>
      <c r="I39" s="92">
        <f>G39-H39</f>
        <v>43361</v>
      </c>
      <c r="J39" s="91"/>
      <c r="K39" s="91"/>
      <c r="L39" s="91"/>
      <c r="M39" s="91"/>
      <c r="N39" s="91"/>
      <c r="O39" s="91"/>
      <c r="P39" s="92">
        <v>1500000</v>
      </c>
      <c r="Q39" s="92">
        <v>1500000</v>
      </c>
      <c r="R39" s="91">
        <f t="shared" ref="R39" si="21">P39-Q39</f>
        <v>0</v>
      </c>
      <c r="S39" s="91">
        <f t="shared" ref="S39" si="22">F39+I39+L39+O39+R39</f>
        <v>345737.54000000004</v>
      </c>
      <c r="T39" s="91"/>
      <c r="U39" s="215"/>
      <c r="V39" s="408"/>
      <c r="W39" s="409"/>
      <c r="X39" s="409"/>
      <c r="Y39" s="409"/>
      <c r="Z39" s="336"/>
    </row>
    <row r="40" spans="1:26" ht="34.5" customHeight="1" thickBot="1" x14ac:dyDescent="0.3">
      <c r="A40" s="33"/>
      <c r="B40" s="724" t="s">
        <v>74</v>
      </c>
      <c r="C40" s="725"/>
      <c r="D40" s="75">
        <v>10664658.939999999</v>
      </c>
      <c r="E40" s="75">
        <v>10645847.67</v>
      </c>
      <c r="F40" s="75">
        <f t="shared" si="3"/>
        <v>18811.269999999553</v>
      </c>
      <c r="G40" s="75"/>
      <c r="H40" s="75"/>
      <c r="I40" s="92">
        <f>G40-H40</f>
        <v>0</v>
      </c>
      <c r="J40" s="75"/>
      <c r="K40" s="75"/>
      <c r="L40" s="75"/>
      <c r="M40" s="75"/>
      <c r="N40" s="75"/>
      <c r="O40" s="75"/>
      <c r="P40" s="75"/>
      <c r="Q40" s="75"/>
      <c r="R40" s="75">
        <f t="shared" si="0"/>
        <v>0</v>
      </c>
      <c r="S40" s="75">
        <f t="shared" si="1"/>
        <v>18811.269999999553</v>
      </c>
      <c r="T40" s="75"/>
      <c r="U40" s="215"/>
      <c r="V40" s="408"/>
      <c r="W40" s="409"/>
      <c r="X40" s="339"/>
      <c r="Y40" s="409"/>
      <c r="Z40" s="340"/>
    </row>
    <row r="41" spans="1:26" ht="15.75" thickBot="1" x14ac:dyDescent="0.3">
      <c r="A41" s="66"/>
      <c r="B41" s="94" t="s">
        <v>23</v>
      </c>
      <c r="C41" s="64"/>
      <c r="D41" s="76">
        <f>SUM(D38:D40)</f>
        <v>12611977.529999999</v>
      </c>
      <c r="E41" s="76">
        <f t="shared" ref="E41:S41" si="23">SUM(E38:E40)</f>
        <v>12290789.720000001</v>
      </c>
      <c r="F41" s="77">
        <f>D41-E41</f>
        <v>321187.80999999866</v>
      </c>
      <c r="G41" s="76">
        <f t="shared" si="23"/>
        <v>263361</v>
      </c>
      <c r="H41" s="76">
        <f t="shared" si="23"/>
        <v>220000</v>
      </c>
      <c r="I41" s="77">
        <f t="shared" si="23"/>
        <v>43361</v>
      </c>
      <c r="J41" s="76">
        <f t="shared" si="23"/>
        <v>0</v>
      </c>
      <c r="K41" s="76">
        <f t="shared" si="23"/>
        <v>0</v>
      </c>
      <c r="L41" s="77">
        <f t="shared" si="23"/>
        <v>0</v>
      </c>
      <c r="M41" s="76">
        <f t="shared" si="23"/>
        <v>0</v>
      </c>
      <c r="N41" s="76">
        <f t="shared" si="23"/>
        <v>0</v>
      </c>
      <c r="O41" s="77">
        <f t="shared" si="23"/>
        <v>0</v>
      </c>
      <c r="P41" s="76">
        <f t="shared" si="23"/>
        <v>1500000</v>
      </c>
      <c r="Q41" s="76">
        <f t="shared" si="23"/>
        <v>1500000</v>
      </c>
      <c r="R41" s="77">
        <f t="shared" si="23"/>
        <v>0</v>
      </c>
      <c r="S41" s="104">
        <f t="shared" si="23"/>
        <v>364548.80999999959</v>
      </c>
      <c r="T41" s="96"/>
      <c r="U41" s="200"/>
      <c r="V41" s="412"/>
      <c r="W41" s="341"/>
      <c r="X41" s="339"/>
      <c r="Y41" s="341"/>
      <c r="Z41" s="336"/>
    </row>
    <row r="42" spans="1:26" ht="15.75" customHeight="1" x14ac:dyDescent="0.25">
      <c r="A42" s="33" t="s">
        <v>50</v>
      </c>
      <c r="B42" s="745" t="s">
        <v>48</v>
      </c>
      <c r="C42" s="74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52"/>
      <c r="V42" s="410"/>
      <c r="W42" s="409"/>
      <c r="X42" s="409"/>
      <c r="Y42" s="409"/>
      <c r="Z42" s="336"/>
    </row>
    <row r="43" spans="1:26" ht="34.5" customHeight="1" x14ac:dyDescent="0.25">
      <c r="A43" s="33"/>
      <c r="B43" s="726" t="s">
        <v>73</v>
      </c>
      <c r="C43" s="727"/>
      <c r="D43" s="92">
        <v>10623551.09</v>
      </c>
      <c r="E43" s="92">
        <v>10267167.439999999</v>
      </c>
      <c r="F43" s="92">
        <f t="shared" ref="F43:F44" si="24">D43-E43</f>
        <v>356383.65000000037</v>
      </c>
      <c r="G43" s="92"/>
      <c r="H43" s="92"/>
      <c r="I43" s="92">
        <f t="shared" ref="I43:I44" si="25">G43-H43</f>
        <v>0</v>
      </c>
      <c r="J43" s="92">
        <v>623333.32999999996</v>
      </c>
      <c r="K43" s="92">
        <v>623333</v>
      </c>
      <c r="L43" s="92">
        <f>J43-K43</f>
        <v>0.32999999995809048</v>
      </c>
      <c r="M43" s="92"/>
      <c r="N43" s="92"/>
      <c r="O43" s="92"/>
      <c r="P43" s="92">
        <v>5169038.8</v>
      </c>
      <c r="Q43" s="92">
        <v>5169038.8</v>
      </c>
      <c r="R43" s="92">
        <f t="shared" ref="R43:R44" si="26">P43-Q43</f>
        <v>0</v>
      </c>
      <c r="S43" s="92">
        <f t="shared" ref="S43:S44" si="27">F43+I43+L43+O43+R43</f>
        <v>356383.98000000033</v>
      </c>
      <c r="T43" s="92"/>
      <c r="U43" s="215"/>
      <c r="V43" s="408"/>
      <c r="W43" s="409"/>
      <c r="X43" s="409"/>
      <c r="Y43" s="409"/>
      <c r="Z43" s="336"/>
    </row>
    <row r="44" spans="1:26" ht="33.75" customHeight="1" thickBot="1" x14ac:dyDescent="0.3">
      <c r="A44" s="33"/>
      <c r="B44" s="724" t="s">
        <v>74</v>
      </c>
      <c r="C44" s="725"/>
      <c r="D44" s="75">
        <v>11929194.390000001</v>
      </c>
      <c r="E44" s="75">
        <v>11897466.789999999</v>
      </c>
      <c r="F44" s="75">
        <f t="shared" si="24"/>
        <v>31727.60000000149</v>
      </c>
      <c r="G44" s="75"/>
      <c r="H44" s="75"/>
      <c r="I44" s="75">
        <f t="shared" si="25"/>
        <v>0</v>
      </c>
      <c r="J44" s="75"/>
      <c r="K44" s="75"/>
      <c r="L44" s="75"/>
      <c r="M44" s="75"/>
      <c r="N44" s="75"/>
      <c r="O44" s="75"/>
      <c r="P44" s="75"/>
      <c r="Q44" s="75"/>
      <c r="R44" s="75">
        <f t="shared" si="26"/>
        <v>0</v>
      </c>
      <c r="S44" s="75">
        <f t="shared" si="27"/>
        <v>31727.60000000149</v>
      </c>
      <c r="T44" s="75"/>
      <c r="U44" s="215"/>
      <c r="V44" s="408"/>
      <c r="W44" s="409"/>
      <c r="X44" s="409"/>
      <c r="Y44" s="409"/>
      <c r="Z44" s="336"/>
    </row>
    <row r="45" spans="1:26" ht="15.75" thickBot="1" x14ac:dyDescent="0.3">
      <c r="A45" s="66"/>
      <c r="B45" s="94" t="s">
        <v>23</v>
      </c>
      <c r="C45" s="64"/>
      <c r="D45" s="76">
        <f>SUM(D42:D44)</f>
        <v>22552745.48</v>
      </c>
      <c r="E45" s="76">
        <f t="shared" ref="E45:S45" si="28">SUM(E42:E44)</f>
        <v>22164634.229999997</v>
      </c>
      <c r="F45" s="77">
        <f>D45-E45</f>
        <v>388111.25000000373</v>
      </c>
      <c r="G45" s="76">
        <f t="shared" si="28"/>
        <v>0</v>
      </c>
      <c r="H45" s="76">
        <f t="shared" si="28"/>
        <v>0</v>
      </c>
      <c r="I45" s="77">
        <f t="shared" si="28"/>
        <v>0</v>
      </c>
      <c r="J45" s="76">
        <f t="shared" si="28"/>
        <v>623333.32999999996</v>
      </c>
      <c r="K45" s="76">
        <f t="shared" si="28"/>
        <v>623333</v>
      </c>
      <c r="L45" s="77">
        <f t="shared" si="28"/>
        <v>0.32999999995809048</v>
      </c>
      <c r="M45" s="76">
        <f t="shared" si="28"/>
        <v>0</v>
      </c>
      <c r="N45" s="76">
        <f t="shared" si="28"/>
        <v>0</v>
      </c>
      <c r="O45" s="77">
        <f t="shared" si="28"/>
        <v>0</v>
      </c>
      <c r="P45" s="76">
        <f t="shared" si="28"/>
        <v>5169038.8</v>
      </c>
      <c r="Q45" s="76">
        <f t="shared" si="28"/>
        <v>5169038.8</v>
      </c>
      <c r="R45" s="77">
        <f t="shared" si="28"/>
        <v>0</v>
      </c>
      <c r="S45" s="104">
        <f t="shared" si="28"/>
        <v>388111.58000000182</v>
      </c>
      <c r="T45" s="96"/>
      <c r="U45" s="200"/>
      <c r="V45" s="412"/>
      <c r="W45" s="341"/>
      <c r="X45" s="339"/>
      <c r="Y45" s="341"/>
      <c r="Z45" s="340"/>
    </row>
    <row r="46" spans="1:26" x14ac:dyDescent="0.25">
      <c r="A46" s="33" t="s">
        <v>51</v>
      </c>
      <c r="B46" s="745" t="s">
        <v>52</v>
      </c>
      <c r="C46" s="74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152"/>
      <c r="V46" s="410"/>
      <c r="W46" s="409"/>
      <c r="X46" s="339"/>
      <c r="Y46" s="409"/>
      <c r="Z46" s="336"/>
    </row>
    <row r="47" spans="1:26" ht="36.75" customHeight="1" x14ac:dyDescent="0.25">
      <c r="A47" s="33"/>
      <c r="B47" s="726" t="s">
        <v>73</v>
      </c>
      <c r="C47" s="727"/>
      <c r="D47" s="92">
        <v>637307</v>
      </c>
      <c r="E47" s="92">
        <v>486879.76</v>
      </c>
      <c r="F47" s="92">
        <f t="shared" ref="F47:F48" si="29">D47-E47</f>
        <v>150427.24</v>
      </c>
      <c r="G47" s="92">
        <v>848731</v>
      </c>
      <c r="H47" s="92">
        <v>674450</v>
      </c>
      <c r="I47" s="92">
        <f t="shared" ref="I47:I48" si="30">G47-H47</f>
        <v>174281</v>
      </c>
      <c r="J47" s="92"/>
      <c r="K47" s="92"/>
      <c r="L47" s="92"/>
      <c r="M47" s="92">
        <v>92968.26</v>
      </c>
      <c r="N47" s="92">
        <v>92968.26</v>
      </c>
      <c r="O47" s="92">
        <f>M47-N47</f>
        <v>0</v>
      </c>
      <c r="P47" s="92">
        <f>370000+1218.12</f>
        <v>371218.12</v>
      </c>
      <c r="Q47" s="92">
        <f>370000+1218.12</f>
        <v>371218.12</v>
      </c>
      <c r="R47" s="92">
        <f t="shared" ref="R47:R48" si="31">P47-Q47</f>
        <v>0</v>
      </c>
      <c r="S47" s="92">
        <f t="shared" ref="S47:S48" si="32">F47+I47+L47+O47+R47</f>
        <v>324708.24</v>
      </c>
      <c r="T47" s="92"/>
      <c r="U47" s="216"/>
      <c r="V47" s="413"/>
      <c r="W47" s="409"/>
      <c r="X47" s="409"/>
      <c r="Y47" s="409"/>
      <c r="Z47" s="336"/>
    </row>
    <row r="48" spans="1:26" ht="35.25" customHeight="1" thickBot="1" x14ac:dyDescent="0.3">
      <c r="A48" s="33"/>
      <c r="B48" s="724" t="s">
        <v>74</v>
      </c>
      <c r="C48" s="725"/>
      <c r="D48" s="75">
        <v>1895449.53</v>
      </c>
      <c r="E48" s="75">
        <v>1895449.53</v>
      </c>
      <c r="F48" s="92">
        <f t="shared" si="29"/>
        <v>0</v>
      </c>
      <c r="G48" s="75">
        <v>187500</v>
      </c>
      <c r="H48" s="75">
        <v>185000</v>
      </c>
      <c r="I48" s="92">
        <f t="shared" si="30"/>
        <v>2500</v>
      </c>
      <c r="J48" s="75"/>
      <c r="K48" s="75"/>
      <c r="L48" s="75"/>
      <c r="M48" s="75"/>
      <c r="N48" s="75"/>
      <c r="O48" s="75"/>
      <c r="P48" s="75"/>
      <c r="Q48" s="75"/>
      <c r="R48" s="75">
        <f t="shared" si="31"/>
        <v>0</v>
      </c>
      <c r="S48" s="75">
        <f t="shared" si="32"/>
        <v>2500</v>
      </c>
      <c r="T48" s="75"/>
      <c r="U48" s="216"/>
      <c r="V48" s="413"/>
      <c r="W48" s="409"/>
      <c r="X48" s="339"/>
      <c r="Y48" s="409"/>
      <c r="Z48" s="339"/>
    </row>
    <row r="49" spans="1:26" ht="15.75" thickBot="1" x14ac:dyDescent="0.3">
      <c r="A49" s="66"/>
      <c r="B49" s="94" t="s">
        <v>23</v>
      </c>
      <c r="C49" s="64"/>
      <c r="D49" s="76">
        <f>SUM(D46:D48)</f>
        <v>2532756.5300000003</v>
      </c>
      <c r="E49" s="76">
        <f t="shared" ref="E49:S49" si="33">SUM(E46:E48)</f>
        <v>2382329.29</v>
      </c>
      <c r="F49" s="77">
        <f t="shared" si="33"/>
        <v>150427.24</v>
      </c>
      <c r="G49" s="76">
        <f t="shared" si="33"/>
        <v>1036231</v>
      </c>
      <c r="H49" s="76">
        <f t="shared" si="33"/>
        <v>859450</v>
      </c>
      <c r="I49" s="77">
        <f t="shared" si="33"/>
        <v>176781</v>
      </c>
      <c r="J49" s="76">
        <f t="shared" si="33"/>
        <v>0</v>
      </c>
      <c r="K49" s="76">
        <f t="shared" si="33"/>
        <v>0</v>
      </c>
      <c r="L49" s="77">
        <f t="shared" si="33"/>
        <v>0</v>
      </c>
      <c r="M49" s="76">
        <f t="shared" si="33"/>
        <v>92968.26</v>
      </c>
      <c r="N49" s="76">
        <f t="shared" si="33"/>
        <v>92968.26</v>
      </c>
      <c r="O49" s="77">
        <f t="shared" si="33"/>
        <v>0</v>
      </c>
      <c r="P49" s="76">
        <f t="shared" si="33"/>
        <v>371218.12</v>
      </c>
      <c r="Q49" s="76">
        <f t="shared" si="33"/>
        <v>371218.12</v>
      </c>
      <c r="R49" s="77">
        <f t="shared" si="33"/>
        <v>0</v>
      </c>
      <c r="S49" s="104">
        <f t="shared" si="33"/>
        <v>327208.24</v>
      </c>
      <c r="T49" s="96"/>
      <c r="U49" s="200"/>
      <c r="V49" s="412"/>
      <c r="W49" s="341"/>
      <c r="X49" s="339"/>
      <c r="Y49" s="341"/>
      <c r="Z49" s="336"/>
    </row>
    <row r="50" spans="1:26" x14ac:dyDescent="0.25">
      <c r="A50" s="33" t="s">
        <v>53</v>
      </c>
      <c r="B50" s="745" t="s">
        <v>54</v>
      </c>
      <c r="C50" s="74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152"/>
      <c r="V50" s="410"/>
      <c r="W50" s="409"/>
      <c r="X50" s="409"/>
      <c r="Y50" s="409"/>
      <c r="Z50" s="336"/>
    </row>
    <row r="51" spans="1:26" ht="33.75" customHeight="1" thickBot="1" x14ac:dyDescent="0.3">
      <c r="A51" s="33"/>
      <c r="B51" s="726" t="s">
        <v>73</v>
      </c>
      <c r="C51" s="727"/>
      <c r="D51" s="75">
        <v>600000</v>
      </c>
      <c r="E51" s="92"/>
      <c r="F51" s="92"/>
      <c r="G51" s="92"/>
      <c r="H51" s="92"/>
      <c r="I51" s="92"/>
      <c r="J51" s="92"/>
      <c r="K51" s="92"/>
      <c r="L51" s="92"/>
      <c r="M51" s="92">
        <v>1863641.36</v>
      </c>
      <c r="N51" s="92">
        <v>1863641.36</v>
      </c>
      <c r="O51" s="92">
        <f>M51-N51</f>
        <v>0</v>
      </c>
      <c r="P51" s="92">
        <f>1200000+4612266.96</f>
        <v>5812266.96</v>
      </c>
      <c r="Q51" s="92">
        <f>1200000+4612266.96</f>
        <v>5812266.96</v>
      </c>
      <c r="R51" s="92">
        <f t="shared" ref="R51:R52" si="34">P51-Q51</f>
        <v>0</v>
      </c>
      <c r="S51" s="92">
        <f t="shared" ref="S51:S52" si="35">F51+I51+L51+O51+R51</f>
        <v>0</v>
      </c>
      <c r="T51" s="92"/>
      <c r="U51" s="215"/>
      <c r="V51" s="408"/>
      <c r="W51" s="409"/>
      <c r="X51" s="409"/>
      <c r="Y51" s="409"/>
      <c r="Z51" s="342"/>
    </row>
    <row r="52" spans="1:26" ht="36" customHeight="1" thickBot="1" x14ac:dyDescent="0.3">
      <c r="A52" s="33"/>
      <c r="B52" s="724" t="s">
        <v>74</v>
      </c>
      <c r="C52" s="725"/>
      <c r="D52" s="75">
        <v>11354345.4</v>
      </c>
      <c r="E52" s="75">
        <v>11354345.4</v>
      </c>
      <c r="F52" s="75">
        <f t="shared" ref="F52" si="36">D52-E52</f>
        <v>0</v>
      </c>
      <c r="G52" s="75"/>
      <c r="H52" s="75"/>
      <c r="I52" s="75">
        <f t="shared" ref="I52" si="37">G52-H52</f>
        <v>0</v>
      </c>
      <c r="J52" s="75"/>
      <c r="K52" s="75"/>
      <c r="L52" s="75"/>
      <c r="M52" s="75"/>
      <c r="N52" s="75"/>
      <c r="O52" s="75"/>
      <c r="P52" s="75"/>
      <c r="Q52" s="75"/>
      <c r="R52" s="75">
        <f t="shared" si="34"/>
        <v>0</v>
      </c>
      <c r="S52" s="75">
        <f t="shared" si="35"/>
        <v>0</v>
      </c>
      <c r="T52" s="75"/>
      <c r="U52" s="215"/>
      <c r="V52" s="408"/>
      <c r="W52" s="409"/>
      <c r="X52" s="409"/>
      <c r="Y52" s="409"/>
      <c r="Z52" s="336"/>
    </row>
    <row r="53" spans="1:26" ht="15.75" thickBot="1" x14ac:dyDescent="0.3">
      <c r="A53" s="66"/>
      <c r="B53" s="94" t="s">
        <v>23</v>
      </c>
      <c r="C53" s="64"/>
      <c r="D53" s="76">
        <f>SUM(D50:D52)</f>
        <v>11954345.4</v>
      </c>
      <c r="E53" s="76">
        <f t="shared" ref="E53:R53" si="38">SUM(E50:E52)</f>
        <v>11354345.4</v>
      </c>
      <c r="F53" s="77">
        <f t="shared" si="38"/>
        <v>0</v>
      </c>
      <c r="G53" s="76">
        <f t="shared" si="38"/>
        <v>0</v>
      </c>
      <c r="H53" s="76">
        <f t="shared" si="38"/>
        <v>0</v>
      </c>
      <c r="I53" s="77">
        <f t="shared" si="38"/>
        <v>0</v>
      </c>
      <c r="J53" s="76">
        <f t="shared" si="38"/>
        <v>0</v>
      </c>
      <c r="K53" s="76">
        <f t="shared" si="38"/>
        <v>0</v>
      </c>
      <c r="L53" s="77">
        <f t="shared" si="38"/>
        <v>0</v>
      </c>
      <c r="M53" s="76">
        <f t="shared" si="38"/>
        <v>1863641.36</v>
      </c>
      <c r="N53" s="76">
        <f t="shared" si="38"/>
        <v>1863641.36</v>
      </c>
      <c r="O53" s="77">
        <f t="shared" si="38"/>
        <v>0</v>
      </c>
      <c r="P53" s="76">
        <f t="shared" si="38"/>
        <v>5812266.96</v>
      </c>
      <c r="Q53" s="76">
        <f t="shared" si="38"/>
        <v>5812266.96</v>
      </c>
      <c r="R53" s="77">
        <f t="shared" si="38"/>
        <v>0</v>
      </c>
      <c r="S53" s="77">
        <f>SUM(S50:S52)</f>
        <v>0</v>
      </c>
      <c r="T53" s="96"/>
      <c r="U53" s="200"/>
      <c r="V53" s="412"/>
      <c r="W53" s="341"/>
      <c r="X53" s="339"/>
      <c r="Y53" s="341"/>
      <c r="Z53" s="340"/>
    </row>
    <row r="54" spans="1:26" x14ac:dyDescent="0.25">
      <c r="A54" s="33" t="s">
        <v>55</v>
      </c>
      <c r="B54" s="745" t="s">
        <v>56</v>
      </c>
      <c r="C54" s="746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152"/>
      <c r="V54" s="410"/>
      <c r="W54" s="409"/>
      <c r="X54" s="339"/>
      <c r="Y54" s="409"/>
      <c r="Z54" s="336"/>
    </row>
    <row r="55" spans="1:26" ht="30.75" customHeight="1" thickBot="1" x14ac:dyDescent="0.3">
      <c r="A55" s="33"/>
      <c r="B55" s="726" t="s">
        <v>73</v>
      </c>
      <c r="C55" s="727"/>
      <c r="D55" s="92">
        <v>984149</v>
      </c>
      <c r="E55" s="92">
        <v>930020.8</v>
      </c>
      <c r="F55" s="92">
        <f>D55-E55</f>
        <v>54128.199999999953</v>
      </c>
      <c r="G55" s="92"/>
      <c r="H55" s="92"/>
      <c r="I55" s="75">
        <f t="shared" ref="I55:I56" si="39">G55-H55</f>
        <v>0</v>
      </c>
      <c r="J55" s="92">
        <v>4301450.67</v>
      </c>
      <c r="K55" s="92">
        <v>3700000</v>
      </c>
      <c r="L55" s="92">
        <f>J55-K55</f>
        <v>601450.66999999993</v>
      </c>
      <c r="M55" s="92">
        <v>73000</v>
      </c>
      <c r="N55" s="92">
        <v>73000</v>
      </c>
      <c r="O55" s="92">
        <f>M55-N55</f>
        <v>0</v>
      </c>
      <c r="P55" s="92">
        <v>390000</v>
      </c>
      <c r="Q55" s="92">
        <v>390000</v>
      </c>
      <c r="R55" s="92">
        <f t="shared" ref="R55:R56" si="40">P55-Q55</f>
        <v>0</v>
      </c>
      <c r="S55" s="92">
        <f t="shared" ref="S55:S56" si="41">F55+I55+L55+O55+R55</f>
        <v>655578.86999999988</v>
      </c>
      <c r="T55" s="92"/>
      <c r="U55" s="215"/>
      <c r="V55" s="408"/>
      <c r="W55" s="409"/>
      <c r="X55" s="409"/>
      <c r="Y55" s="409"/>
      <c r="Z55" s="336"/>
    </row>
    <row r="56" spans="1:26" ht="33.75" customHeight="1" thickBot="1" x14ac:dyDescent="0.3">
      <c r="A56" s="33"/>
      <c r="B56" s="724" t="s">
        <v>74</v>
      </c>
      <c r="C56" s="725"/>
      <c r="D56" s="75">
        <v>3067985.37</v>
      </c>
      <c r="E56" s="75">
        <v>2882510.54</v>
      </c>
      <c r="F56" s="92">
        <f>D56-E56</f>
        <v>185474.83000000007</v>
      </c>
      <c r="G56" s="75"/>
      <c r="H56" s="75"/>
      <c r="I56" s="75">
        <f t="shared" si="39"/>
        <v>0</v>
      </c>
      <c r="J56" s="75"/>
      <c r="K56" s="75"/>
      <c r="L56" s="75"/>
      <c r="M56" s="75"/>
      <c r="N56" s="75"/>
      <c r="O56" s="75"/>
      <c r="P56" s="75"/>
      <c r="Q56" s="75"/>
      <c r="R56" s="75">
        <f t="shared" si="40"/>
        <v>0</v>
      </c>
      <c r="S56" s="75">
        <f t="shared" si="41"/>
        <v>185474.83000000007</v>
      </c>
      <c r="T56" s="75"/>
      <c r="U56" s="215"/>
      <c r="V56" s="408"/>
      <c r="W56" s="409"/>
      <c r="X56" s="409"/>
      <c r="Y56" s="409"/>
      <c r="Z56" s="336"/>
    </row>
    <row r="57" spans="1:26" ht="15.75" thickBot="1" x14ac:dyDescent="0.3">
      <c r="A57" s="66"/>
      <c r="B57" s="64" t="s">
        <v>23</v>
      </c>
      <c r="C57" s="64"/>
      <c r="D57" s="76">
        <f>SUM(D54:D56)</f>
        <v>4052134.37</v>
      </c>
      <c r="E57" s="76">
        <f t="shared" ref="E57:N57" si="42">SUM(E54:E56)</f>
        <v>3812531.34</v>
      </c>
      <c r="F57" s="77">
        <f t="shared" si="42"/>
        <v>239603.03000000003</v>
      </c>
      <c r="G57" s="76">
        <f t="shared" si="42"/>
        <v>0</v>
      </c>
      <c r="H57" s="76">
        <f t="shared" si="42"/>
        <v>0</v>
      </c>
      <c r="I57" s="77">
        <f t="shared" si="42"/>
        <v>0</v>
      </c>
      <c r="J57" s="76">
        <f t="shared" si="42"/>
        <v>4301450.67</v>
      </c>
      <c r="K57" s="76">
        <f t="shared" si="42"/>
        <v>3700000</v>
      </c>
      <c r="L57" s="77">
        <f t="shared" si="42"/>
        <v>601450.66999999993</v>
      </c>
      <c r="M57" s="76">
        <f t="shared" si="42"/>
        <v>73000</v>
      </c>
      <c r="N57" s="76">
        <f t="shared" si="42"/>
        <v>73000</v>
      </c>
      <c r="O57" s="77">
        <f>SUM(O54:O56)</f>
        <v>0</v>
      </c>
      <c r="P57" s="76">
        <f t="shared" ref="P57:R57" si="43">SUM(P54:P56)</f>
        <v>390000</v>
      </c>
      <c r="Q57" s="76">
        <f t="shared" si="43"/>
        <v>390000</v>
      </c>
      <c r="R57" s="77">
        <f t="shared" si="43"/>
        <v>0</v>
      </c>
      <c r="S57" s="104">
        <f>SUM(S54:S56)</f>
        <v>841053.7</v>
      </c>
      <c r="T57" s="97"/>
      <c r="U57" s="200"/>
      <c r="V57" s="412"/>
      <c r="W57" s="414"/>
      <c r="X57" s="339"/>
      <c r="Y57" s="341"/>
      <c r="Z57" s="340"/>
    </row>
    <row r="58" spans="1:26" x14ac:dyDescent="0.25">
      <c r="A58" s="33" t="s">
        <v>57</v>
      </c>
      <c r="B58" s="745" t="s">
        <v>58</v>
      </c>
      <c r="C58" s="74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152"/>
      <c r="V58" s="410"/>
      <c r="W58" s="409"/>
      <c r="X58" s="339"/>
      <c r="Y58" s="409"/>
      <c r="Z58" s="336"/>
    </row>
    <row r="59" spans="1:26" ht="33" customHeight="1" thickBot="1" x14ac:dyDescent="0.3">
      <c r="A59" s="33"/>
      <c r="B59" s="726" t="s">
        <v>73</v>
      </c>
      <c r="C59" s="727"/>
      <c r="D59" s="75">
        <v>109458294.98</v>
      </c>
      <c r="E59" s="92">
        <v>101312316.73999999</v>
      </c>
      <c r="F59" s="217">
        <v>3133370.64</v>
      </c>
      <c r="G59" s="92">
        <v>1195998.69</v>
      </c>
      <c r="H59" s="92">
        <v>1009000</v>
      </c>
      <c r="I59" s="92">
        <f t="shared" ref="I59:I60" si="44">G59-H59</f>
        <v>186998.68999999994</v>
      </c>
      <c r="J59" s="92"/>
      <c r="K59" s="92"/>
      <c r="L59" s="92">
        <f>J59-K59</f>
        <v>0</v>
      </c>
      <c r="M59" s="92">
        <v>1675176.15</v>
      </c>
      <c r="N59" s="92">
        <v>1675176.15</v>
      </c>
      <c r="O59" s="92">
        <f>M59-N59</f>
        <v>0</v>
      </c>
      <c r="P59" s="92">
        <v>3186848.63</v>
      </c>
      <c r="Q59" s="92">
        <v>3186848.63</v>
      </c>
      <c r="R59" s="92">
        <f t="shared" ref="R59:R60" si="45">P59-Q59</f>
        <v>0</v>
      </c>
      <c r="S59" s="92">
        <f>F59+I59+L59+O59+R59</f>
        <v>3320369.33</v>
      </c>
      <c r="T59" s="92"/>
      <c r="U59" s="215"/>
      <c r="V59" s="408"/>
      <c r="W59" s="409"/>
      <c r="X59" s="409"/>
      <c r="Y59" s="409"/>
      <c r="Z59" s="342"/>
    </row>
    <row r="60" spans="1:26" ht="34.5" customHeight="1" thickBot="1" x14ac:dyDescent="0.3">
      <c r="A60" s="33"/>
      <c r="B60" s="724" t="s">
        <v>74</v>
      </c>
      <c r="C60" s="725"/>
      <c r="D60" s="75">
        <v>29730565.600000001</v>
      </c>
      <c r="E60" s="75">
        <v>29721310.079999998</v>
      </c>
      <c r="F60" s="75">
        <f t="shared" ref="F60" si="46">D60-E60</f>
        <v>9255.5200000032783</v>
      </c>
      <c r="G60" s="75"/>
      <c r="H60" s="75"/>
      <c r="I60" s="75">
        <f t="shared" si="44"/>
        <v>0</v>
      </c>
      <c r="J60" s="75"/>
      <c r="K60" s="75"/>
      <c r="L60" s="75"/>
      <c r="M60" s="75"/>
      <c r="N60" s="75"/>
      <c r="O60" s="75"/>
      <c r="P60" s="75"/>
      <c r="Q60" s="75"/>
      <c r="R60" s="75">
        <f t="shared" si="45"/>
        <v>0</v>
      </c>
      <c r="S60" s="75">
        <f t="shared" ref="S60" si="47">F60+I60+L60+O60+R60</f>
        <v>9255.5200000032783</v>
      </c>
      <c r="T60" s="75"/>
      <c r="U60" s="215"/>
      <c r="V60" s="408"/>
      <c r="W60" s="343"/>
      <c r="X60" s="339"/>
      <c r="Y60" s="409"/>
      <c r="Z60" s="336"/>
    </row>
    <row r="61" spans="1:26" ht="15.75" thickBot="1" x14ac:dyDescent="0.3">
      <c r="A61" s="66"/>
      <c r="B61" s="94" t="s">
        <v>23</v>
      </c>
      <c r="C61" s="64"/>
      <c r="D61" s="76">
        <f>SUM(D58:D60)</f>
        <v>139188860.58000001</v>
      </c>
      <c r="E61" s="76">
        <f t="shared" ref="E61:R61" si="48">SUM(E58:E60)</f>
        <v>131033626.81999999</v>
      </c>
      <c r="F61" s="104">
        <f t="shared" si="48"/>
        <v>3142626.1600000034</v>
      </c>
      <c r="G61" s="76">
        <f t="shared" si="48"/>
        <v>1195998.69</v>
      </c>
      <c r="H61" s="76">
        <f t="shared" si="48"/>
        <v>1009000</v>
      </c>
      <c r="I61" s="77">
        <f t="shared" si="48"/>
        <v>186998.68999999994</v>
      </c>
      <c r="J61" s="76">
        <f t="shared" si="48"/>
        <v>0</v>
      </c>
      <c r="K61" s="76">
        <f t="shared" si="48"/>
        <v>0</v>
      </c>
      <c r="L61" s="77">
        <f t="shared" si="48"/>
        <v>0</v>
      </c>
      <c r="M61" s="76">
        <f t="shared" si="48"/>
        <v>1675176.15</v>
      </c>
      <c r="N61" s="76">
        <f t="shared" si="48"/>
        <v>1675176.15</v>
      </c>
      <c r="O61" s="77">
        <f t="shared" si="48"/>
        <v>0</v>
      </c>
      <c r="P61" s="76">
        <f t="shared" si="48"/>
        <v>3186848.63</v>
      </c>
      <c r="Q61" s="76">
        <f t="shared" si="48"/>
        <v>3186848.63</v>
      </c>
      <c r="R61" s="77">
        <f t="shared" si="48"/>
        <v>0</v>
      </c>
      <c r="S61" s="104">
        <f>SUM(S58:S60)</f>
        <v>3329624.8500000034</v>
      </c>
      <c r="T61" s="96"/>
      <c r="U61" s="200"/>
      <c r="V61" s="412"/>
      <c r="W61" s="341"/>
      <c r="X61" s="339"/>
      <c r="Y61" s="341"/>
      <c r="Z61" s="340"/>
    </row>
    <row r="62" spans="1:26" x14ac:dyDescent="0.25">
      <c r="A62" s="33" t="s">
        <v>60</v>
      </c>
      <c r="B62" s="745" t="s">
        <v>59</v>
      </c>
      <c r="C62" s="74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152"/>
      <c r="V62" s="410"/>
      <c r="W62" s="339"/>
      <c r="X62" s="409"/>
      <c r="Y62" s="409"/>
      <c r="Z62" s="336"/>
    </row>
    <row r="63" spans="1:26" ht="33.75" customHeight="1" x14ac:dyDescent="0.25">
      <c r="A63" s="33"/>
      <c r="B63" s="726" t="s">
        <v>73</v>
      </c>
      <c r="C63" s="727"/>
      <c r="D63" s="92">
        <v>14607602.08</v>
      </c>
      <c r="E63" s="92">
        <v>9954621.5500000007</v>
      </c>
      <c r="F63" s="92">
        <f>D63-E63</f>
        <v>4652980.5299999993</v>
      </c>
      <c r="G63" s="92"/>
      <c r="H63" s="92"/>
      <c r="I63" s="92">
        <f t="shared" ref="I63:I64" si="49">G63-H63</f>
        <v>0</v>
      </c>
      <c r="J63" s="92">
        <v>1114642.92</v>
      </c>
      <c r="K63" s="92">
        <v>815104.63</v>
      </c>
      <c r="L63" s="92">
        <f>J63-K63</f>
        <v>299538.28999999992</v>
      </c>
      <c r="M63" s="92">
        <v>392691.6</v>
      </c>
      <c r="N63" s="92">
        <v>381691.6</v>
      </c>
      <c r="O63" s="92">
        <f>M63-N63</f>
        <v>11000</v>
      </c>
      <c r="P63" s="92">
        <v>1141025.79</v>
      </c>
      <c r="Q63" s="92">
        <v>1141025.79</v>
      </c>
      <c r="R63" s="92">
        <f t="shared" ref="R63:R64" si="50">P63-Q63</f>
        <v>0</v>
      </c>
      <c r="S63" s="92">
        <f>F63+I63+L63+O63+R63</f>
        <v>4963518.8199999994</v>
      </c>
      <c r="T63" s="92"/>
      <c r="U63" s="215"/>
      <c r="V63" s="408"/>
      <c r="W63" s="409"/>
      <c r="X63" s="409"/>
      <c r="Y63" s="409"/>
      <c r="Z63" s="336"/>
    </row>
    <row r="64" spans="1:26" ht="32.25" customHeight="1" thickBot="1" x14ac:dyDescent="0.3">
      <c r="A64" s="33"/>
      <c r="B64" s="724" t="s">
        <v>74</v>
      </c>
      <c r="C64" s="725"/>
      <c r="D64" s="75">
        <v>16501216.52</v>
      </c>
      <c r="E64" s="75">
        <v>16343243.58</v>
      </c>
      <c r="F64" s="75">
        <f>D64-E64</f>
        <v>157972.93999999948</v>
      </c>
      <c r="G64" s="75"/>
      <c r="H64" s="75"/>
      <c r="I64" s="75">
        <f t="shared" si="49"/>
        <v>0</v>
      </c>
      <c r="J64" s="75"/>
      <c r="K64" s="75"/>
      <c r="L64" s="75"/>
      <c r="M64" s="75"/>
      <c r="N64" s="75"/>
      <c r="O64" s="75"/>
      <c r="P64" s="75"/>
      <c r="Q64" s="75"/>
      <c r="R64" s="75">
        <f t="shared" si="50"/>
        <v>0</v>
      </c>
      <c r="S64" s="75">
        <f t="shared" ref="S64" si="51">F64+I64+L64+O64+R64</f>
        <v>157972.93999999948</v>
      </c>
      <c r="T64" s="75"/>
      <c r="U64" s="215"/>
      <c r="V64" s="408"/>
      <c r="W64" s="409"/>
      <c r="X64" s="409"/>
      <c r="Y64" s="409"/>
      <c r="Z64" s="336"/>
    </row>
    <row r="65" spans="1:27" ht="15.75" thickBot="1" x14ac:dyDescent="0.3">
      <c r="A65" s="66"/>
      <c r="B65" s="94" t="s">
        <v>23</v>
      </c>
      <c r="C65" s="64"/>
      <c r="D65" s="76">
        <f>SUM(D62:D64)</f>
        <v>31108818.600000001</v>
      </c>
      <c r="E65" s="76">
        <f>SUM(E62:E64)</f>
        <v>26297865.130000003</v>
      </c>
      <c r="F65" s="77">
        <f>SUM(F62:F64)</f>
        <v>4810953.4699999988</v>
      </c>
      <c r="G65" s="76">
        <f t="shared" ref="G65:R65" si="52">SUM(G62:G64)</f>
        <v>0</v>
      </c>
      <c r="H65" s="76">
        <f t="shared" si="52"/>
        <v>0</v>
      </c>
      <c r="I65" s="77">
        <f t="shared" si="52"/>
        <v>0</v>
      </c>
      <c r="J65" s="76">
        <f t="shared" si="52"/>
        <v>1114642.92</v>
      </c>
      <c r="K65" s="76">
        <f t="shared" si="52"/>
        <v>815104.63</v>
      </c>
      <c r="L65" s="77">
        <f t="shared" si="52"/>
        <v>299538.28999999992</v>
      </c>
      <c r="M65" s="76">
        <f t="shared" si="52"/>
        <v>392691.6</v>
      </c>
      <c r="N65" s="76">
        <f t="shared" si="52"/>
        <v>381691.6</v>
      </c>
      <c r="O65" s="77">
        <f t="shared" si="52"/>
        <v>11000</v>
      </c>
      <c r="P65" s="76">
        <f t="shared" si="52"/>
        <v>1141025.79</v>
      </c>
      <c r="Q65" s="76">
        <f t="shared" si="52"/>
        <v>1141025.79</v>
      </c>
      <c r="R65" s="77">
        <f t="shared" si="52"/>
        <v>0</v>
      </c>
      <c r="S65" s="104">
        <f>SUM(S62:S64)</f>
        <v>5121491.7599999988</v>
      </c>
      <c r="T65" s="96"/>
      <c r="U65" s="200"/>
      <c r="V65" s="412"/>
      <c r="W65" s="341"/>
      <c r="X65" s="343"/>
      <c r="Y65" s="341"/>
      <c r="Z65" s="340"/>
    </row>
    <row r="66" spans="1:27" x14ac:dyDescent="0.25">
      <c r="A66" s="33" t="s">
        <v>61</v>
      </c>
      <c r="B66" s="745" t="s">
        <v>62</v>
      </c>
      <c r="C66" s="746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152"/>
      <c r="V66" s="410"/>
      <c r="W66" s="409"/>
      <c r="X66" s="343"/>
      <c r="Y66" s="409"/>
      <c r="Z66" s="336"/>
    </row>
    <row r="67" spans="1:27" ht="32.25" customHeight="1" thickBot="1" x14ac:dyDescent="0.3">
      <c r="A67" s="33"/>
      <c r="B67" s="726" t="s">
        <v>73</v>
      </c>
      <c r="C67" s="727"/>
      <c r="D67" s="75">
        <v>37122776.950000003</v>
      </c>
      <c r="E67" s="92">
        <v>25983679.940000001</v>
      </c>
      <c r="F67" s="92">
        <v>9402596.2100000009</v>
      </c>
      <c r="G67" s="92"/>
      <c r="H67" s="92"/>
      <c r="I67" s="92">
        <f>G67-H67</f>
        <v>0</v>
      </c>
      <c r="J67" s="92"/>
      <c r="K67" s="92"/>
      <c r="L67" s="92"/>
      <c r="M67" s="217">
        <v>1534040.9</v>
      </c>
      <c r="N67" s="217">
        <v>1534040.9</v>
      </c>
      <c r="O67" s="92">
        <f>M67-N67</f>
        <v>0</v>
      </c>
      <c r="P67" s="217">
        <v>5761110.5999999996</v>
      </c>
      <c r="Q67" s="92">
        <v>5761110.5999999996</v>
      </c>
      <c r="R67" s="92">
        <f>P67-Q67</f>
        <v>0</v>
      </c>
      <c r="S67" s="92"/>
      <c r="T67" s="92"/>
      <c r="U67" s="215"/>
      <c r="V67" s="408"/>
      <c r="W67" s="409"/>
      <c r="X67" s="409"/>
      <c r="Y67" s="409"/>
      <c r="Z67" s="336"/>
    </row>
    <row r="68" spans="1:27" ht="34.5" customHeight="1" thickBot="1" x14ac:dyDescent="0.3">
      <c r="A68" s="33"/>
      <c r="B68" s="724" t="s">
        <v>74</v>
      </c>
      <c r="C68" s="725"/>
      <c r="D68" s="75">
        <v>161711879.27000001</v>
      </c>
      <c r="E68" s="75">
        <v>161672711.88</v>
      </c>
      <c r="F68" s="75">
        <f>D68-E68</f>
        <v>39167.390000015497</v>
      </c>
      <c r="G68" s="75"/>
      <c r="H68" s="75"/>
      <c r="I68" s="92">
        <f>G68-H68</f>
        <v>0</v>
      </c>
      <c r="J68" s="75"/>
      <c r="K68" s="75"/>
      <c r="L68" s="75"/>
      <c r="M68" s="75"/>
      <c r="N68" s="75"/>
      <c r="O68" s="75"/>
      <c r="P68" s="75"/>
      <c r="Q68" s="75"/>
      <c r="R68" s="75">
        <v>0</v>
      </c>
      <c r="S68" s="75"/>
      <c r="T68" s="75"/>
      <c r="U68" s="215"/>
      <c r="V68" s="408"/>
      <c r="W68" s="409"/>
      <c r="X68" s="343"/>
      <c r="Y68" s="409"/>
      <c r="Z68" s="336"/>
    </row>
    <row r="69" spans="1:27" ht="15.75" thickBot="1" x14ac:dyDescent="0.3">
      <c r="A69" s="139"/>
      <c r="B69" s="140" t="s">
        <v>23</v>
      </c>
      <c r="C69" s="140"/>
      <c r="D69" s="141">
        <f>SUM(D66:D68)</f>
        <v>198834656.22000003</v>
      </c>
      <c r="E69" s="141">
        <f>SUM(E66:E68)</f>
        <v>187656391.81999999</v>
      </c>
      <c r="F69" s="142">
        <f>F67+F68</f>
        <v>9441763.6000000164</v>
      </c>
      <c r="G69" s="141">
        <f>SUM(G66:G68)</f>
        <v>0</v>
      </c>
      <c r="H69" s="141">
        <f>SUM(H66:H68)</f>
        <v>0</v>
      </c>
      <c r="I69" s="142">
        <f t="shared" si="4"/>
        <v>0</v>
      </c>
      <c r="J69" s="141"/>
      <c r="K69" s="141"/>
      <c r="L69" s="142">
        <v>0</v>
      </c>
      <c r="M69" s="141">
        <f>M67</f>
        <v>1534040.9</v>
      </c>
      <c r="N69" s="141">
        <f>N67</f>
        <v>1534040.9</v>
      </c>
      <c r="O69" s="142">
        <v>0</v>
      </c>
      <c r="P69" s="141">
        <f>SUM(P66:P68)</f>
        <v>5761110.5999999996</v>
      </c>
      <c r="Q69" s="141">
        <f>SUM(Q66:Q68)</f>
        <v>5761110.5999999996</v>
      </c>
      <c r="R69" s="142">
        <f t="shared" si="0"/>
        <v>0</v>
      </c>
      <c r="S69" s="143">
        <f>F69+I69+L69+O69+R69</f>
        <v>9441763.6000000164</v>
      </c>
      <c r="T69" s="144"/>
      <c r="U69" s="200"/>
      <c r="V69" s="412"/>
      <c r="W69" s="341"/>
      <c r="X69" s="343"/>
      <c r="Y69" s="341"/>
      <c r="Z69" s="339"/>
    </row>
    <row r="70" spans="1:27" ht="16.5" thickBot="1" x14ac:dyDescent="0.3">
      <c r="A70" s="145"/>
      <c r="B70" s="146" t="s">
        <v>63</v>
      </c>
      <c r="C70" s="147"/>
      <c r="D70" s="141">
        <f>D17+D21+D25+D29+D33+D37+D41+D45+D49+D53+D57+D61+D65+D69</f>
        <v>659006226.95000005</v>
      </c>
      <c r="E70" s="141">
        <f>E17+E21+E25+E29+E33+E37+E41+E45+E49+E53+E57+E61+E65+E69</f>
        <v>626733549.1099999</v>
      </c>
      <c r="F70" s="142">
        <f>F17+F21+F25+F29+F33+F37+F41+F45+F49+F53+F57+F61+F65+F69</f>
        <v>24923569.440000013</v>
      </c>
      <c r="G70" s="141">
        <f>G17+G21+G25+G29+G33+G37+G41+G45+G49+G53+G57+G61+G65+G69</f>
        <v>5363249.4399999995</v>
      </c>
      <c r="H70" s="141">
        <f t="shared" ref="H70:R70" si="53">H17+H21+H25+H29+H33+H37+H41+H45+H49+H53+H57+H61+H65+H69</f>
        <v>4734198</v>
      </c>
      <c r="I70" s="142">
        <f>I17+I21+I25+I29+I33+I37+I41+I45+I49+I53+I57+I61+I65+I69</f>
        <v>629051.43999999994</v>
      </c>
      <c r="J70" s="141">
        <f>J17+J21+J25+J29+J33+J37+J41+J45+J49+J53+J57+J61+J65+J69</f>
        <v>14447028.23</v>
      </c>
      <c r="K70" s="141">
        <f t="shared" si="53"/>
        <v>9729637.6300000008</v>
      </c>
      <c r="L70" s="142">
        <f t="shared" si="53"/>
        <v>1217989.2899999998</v>
      </c>
      <c r="M70" s="141">
        <f>M17+M21+M25+M29+M33+M37+M41+M45+M49+M53+M57+M61+M65+M69</f>
        <v>6132178.3900000006</v>
      </c>
      <c r="N70" s="141">
        <f>N17+N21+N25+N29+N33+N37+N41+N45+N49+N53+N57+N61+N65+N69</f>
        <v>6094238.8499999996</v>
      </c>
      <c r="O70" s="142">
        <f>O17+O21+O25+O29+O33+O37+O41+O45+O49+O53+O57+O61+O65+O69</f>
        <v>37939.539999999979</v>
      </c>
      <c r="P70" s="141">
        <f t="shared" si="53"/>
        <v>33379821</v>
      </c>
      <c r="Q70" s="141">
        <f>Q17+Q21+Q25+Q29+Q33+Q37+Q41+Q45+Q49+Q53+Q57+Q61+Q65+Q69</f>
        <v>33379821</v>
      </c>
      <c r="R70" s="142">
        <f t="shared" si="53"/>
        <v>0</v>
      </c>
      <c r="S70" s="143">
        <f>S17+S21+S25+S29+S33+S37+S41+S45+S49+S53+S57+S61+S65+S69</f>
        <v>26808549.710000016</v>
      </c>
      <c r="T70" s="144"/>
      <c r="U70" s="200"/>
      <c r="V70" s="412"/>
      <c r="W70" s="415"/>
      <c r="X70" s="416"/>
      <c r="Y70" s="415"/>
      <c r="Z70" s="336"/>
    </row>
    <row r="71" spans="1:27" x14ac:dyDescent="0.25">
      <c r="E71" s="80"/>
      <c r="F71" s="80"/>
      <c r="H71" s="80"/>
      <c r="I71" s="80"/>
      <c r="K71" s="80"/>
      <c r="L71" s="203"/>
      <c r="O71" s="80"/>
      <c r="S71" s="80"/>
      <c r="V71" s="336"/>
      <c r="W71" s="417"/>
      <c r="X71" s="336"/>
      <c r="Y71" s="337"/>
      <c r="Z71" s="336"/>
    </row>
    <row r="72" spans="1:27" x14ac:dyDescent="0.25">
      <c r="B72" s="336"/>
      <c r="C72" s="336"/>
      <c r="D72" s="337"/>
      <c r="E72" s="337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V72" s="336"/>
      <c r="W72" s="336"/>
      <c r="X72" s="336"/>
      <c r="Y72" s="336"/>
      <c r="Z72" s="336"/>
    </row>
    <row r="73" spans="1:27" x14ac:dyDescent="0.25">
      <c r="B73" s="336"/>
      <c r="C73" s="252"/>
      <c r="D73" s="344"/>
      <c r="E73" s="345"/>
      <c r="F73" s="346"/>
      <c r="G73" s="252"/>
      <c r="H73" s="252"/>
      <c r="I73" s="252"/>
      <c r="J73" s="344"/>
      <c r="K73" s="344"/>
      <c r="L73" s="347"/>
      <c r="M73" s="252"/>
      <c r="N73" s="348"/>
      <c r="O73" s="349"/>
      <c r="P73" s="350"/>
      <c r="Q73" s="252"/>
      <c r="R73" s="252"/>
      <c r="S73" s="351"/>
      <c r="T73" s="252"/>
      <c r="U73" s="365"/>
      <c r="V73" s="351"/>
      <c r="W73" s="252"/>
      <c r="X73" s="252"/>
      <c r="Y73" s="252"/>
      <c r="Z73" s="252"/>
      <c r="AA73" s="58"/>
    </row>
    <row r="74" spans="1:27" x14ac:dyDescent="0.25">
      <c r="B74" s="336"/>
      <c r="C74" s="252"/>
      <c r="D74" s="344"/>
      <c r="E74" s="344"/>
      <c r="F74" s="346"/>
      <c r="G74" s="352"/>
      <c r="H74" s="353"/>
      <c r="I74" s="252"/>
      <c r="J74" s="252"/>
      <c r="K74" s="252"/>
      <c r="L74" s="252"/>
      <c r="M74" s="351"/>
      <c r="N74" s="252"/>
      <c r="O74" s="252"/>
      <c r="P74" s="252"/>
      <c r="Q74" s="252"/>
      <c r="R74" s="252"/>
      <c r="S74" s="350"/>
      <c r="T74" s="252"/>
      <c r="U74" s="363"/>
      <c r="V74" s="252"/>
      <c r="W74" s="252"/>
      <c r="X74" s="252"/>
      <c r="Y74" s="252"/>
      <c r="Z74" s="252"/>
      <c r="AA74" s="58"/>
    </row>
    <row r="75" spans="1:27" x14ac:dyDescent="0.25">
      <c r="B75" s="336"/>
      <c r="C75" s="252"/>
      <c r="D75" s="344"/>
      <c r="E75" s="252"/>
      <c r="F75" s="346"/>
      <c r="G75" s="352"/>
      <c r="H75" s="353"/>
      <c r="I75" s="252"/>
      <c r="J75" s="344"/>
      <c r="K75" s="252"/>
      <c r="L75" s="354"/>
      <c r="M75" s="252"/>
      <c r="N75" s="355"/>
      <c r="O75" s="252"/>
      <c r="P75" s="252"/>
      <c r="Q75" s="252"/>
      <c r="R75" s="252"/>
      <c r="S75" s="345"/>
      <c r="T75" s="252"/>
      <c r="U75" s="365"/>
      <c r="V75" s="351"/>
      <c r="W75" s="252"/>
      <c r="X75" s="383"/>
      <c r="Y75" s="383"/>
      <c r="Z75" s="383"/>
      <c r="AA75" s="58"/>
    </row>
    <row r="76" spans="1:27" x14ac:dyDescent="0.25">
      <c r="B76" s="336"/>
      <c r="C76" s="252"/>
      <c r="D76" s="344"/>
      <c r="E76" s="252"/>
      <c r="F76" s="346"/>
      <c r="G76" s="352"/>
      <c r="H76" s="353"/>
      <c r="I76" s="252"/>
      <c r="J76" s="252"/>
      <c r="K76" s="252"/>
      <c r="L76" s="354"/>
      <c r="M76" s="252"/>
      <c r="N76" s="252"/>
      <c r="O76" s="252"/>
      <c r="P76" s="252"/>
      <c r="Q76" s="252"/>
      <c r="R76" s="252"/>
      <c r="S76" s="252"/>
      <c r="T76" s="252"/>
      <c r="U76" s="58"/>
      <c r="V76" s="351"/>
      <c r="W76" s="252"/>
      <c r="X76" s="252"/>
      <c r="Y76" s="252"/>
      <c r="Z76" s="252"/>
      <c r="AA76" s="58"/>
    </row>
    <row r="77" spans="1:27" x14ac:dyDescent="0.25">
      <c r="B77" s="336"/>
      <c r="C77" s="252"/>
      <c r="D77" s="344"/>
      <c r="E77" s="252"/>
      <c r="F77" s="346"/>
      <c r="G77" s="352"/>
      <c r="H77" s="353"/>
      <c r="I77" s="252"/>
      <c r="J77" s="356"/>
      <c r="K77" s="252"/>
      <c r="L77" s="354"/>
      <c r="M77" s="252"/>
      <c r="N77" s="252"/>
      <c r="O77" s="252"/>
      <c r="P77" s="252"/>
      <c r="Q77" s="252"/>
      <c r="R77" s="344"/>
      <c r="S77" s="345"/>
      <c r="T77" s="252"/>
      <c r="U77" s="58"/>
      <c r="V77" s="351"/>
      <c r="W77" s="252"/>
      <c r="X77" s="252"/>
      <c r="Y77" s="252"/>
      <c r="Z77" s="252"/>
      <c r="AA77" s="58"/>
    </row>
    <row r="78" spans="1:27" x14ac:dyDescent="0.25">
      <c r="B78" s="336"/>
      <c r="C78" s="252"/>
      <c r="D78" s="344"/>
      <c r="E78" s="252"/>
      <c r="F78" s="346"/>
      <c r="G78" s="352"/>
      <c r="H78" s="353"/>
      <c r="I78" s="356"/>
      <c r="J78" s="252"/>
      <c r="K78" s="252"/>
      <c r="L78" s="350"/>
      <c r="M78" s="252"/>
      <c r="N78" s="344"/>
      <c r="O78" s="344"/>
      <c r="P78" s="344"/>
      <c r="Q78" s="344"/>
      <c r="R78" s="252"/>
      <c r="S78" s="252"/>
      <c r="T78" s="252"/>
      <c r="U78" s="58"/>
      <c r="V78" s="252"/>
      <c r="W78" s="252"/>
      <c r="X78" s="252"/>
      <c r="Y78" s="252"/>
      <c r="Z78" s="252"/>
      <c r="AA78" s="58"/>
    </row>
    <row r="79" spans="1:27" x14ac:dyDescent="0.25">
      <c r="B79" s="336"/>
      <c r="C79" s="252"/>
      <c r="D79" s="344"/>
      <c r="E79" s="252"/>
      <c r="F79" s="346"/>
      <c r="G79" s="351"/>
      <c r="H79" s="252"/>
      <c r="I79" s="252"/>
      <c r="J79" s="252"/>
      <c r="K79" s="252"/>
      <c r="L79" s="252"/>
      <c r="M79" s="252"/>
      <c r="N79" s="344"/>
      <c r="O79" s="344"/>
      <c r="P79" s="344"/>
      <c r="Q79" s="344"/>
      <c r="R79" s="252"/>
      <c r="S79" s="252"/>
      <c r="T79" s="252"/>
      <c r="U79" s="58"/>
      <c r="V79" s="252"/>
      <c r="W79" s="252"/>
      <c r="X79" s="252"/>
      <c r="Y79" s="252"/>
      <c r="Z79" s="252"/>
      <c r="AA79" s="58"/>
    </row>
    <row r="80" spans="1:27" x14ac:dyDescent="0.25">
      <c r="B80" s="336"/>
      <c r="C80" s="348"/>
      <c r="D80" s="348"/>
      <c r="E80" s="357"/>
      <c r="F80" s="358"/>
      <c r="G80" s="358"/>
      <c r="H80" s="350"/>
      <c r="I80" s="252"/>
      <c r="J80" s="252"/>
      <c r="K80" s="252"/>
      <c r="L80" s="252"/>
      <c r="M80" s="252"/>
      <c r="N80" s="344"/>
      <c r="O80" s="344"/>
      <c r="P80" s="344"/>
      <c r="Q80" s="344"/>
      <c r="R80" s="344"/>
      <c r="S80" s="252"/>
      <c r="T80" s="252"/>
      <c r="U80" s="256"/>
      <c r="V80" s="418"/>
      <c r="W80" s="345"/>
      <c r="X80" s="345"/>
      <c r="Y80" s="252"/>
      <c r="Z80" s="252"/>
      <c r="AA80" s="58"/>
    </row>
    <row r="81" spans="2:27" x14ac:dyDescent="0.25">
      <c r="B81" s="339"/>
      <c r="C81" s="348"/>
      <c r="D81" s="358"/>
      <c r="E81" s="348"/>
      <c r="F81" s="359"/>
      <c r="G81" s="360"/>
      <c r="H81" s="252"/>
      <c r="I81" s="252"/>
      <c r="J81" s="252"/>
      <c r="K81" s="252"/>
      <c r="L81" s="252"/>
      <c r="M81" s="252"/>
      <c r="N81" s="361"/>
      <c r="O81" s="344"/>
      <c r="P81" s="344"/>
      <c r="Q81" s="344"/>
      <c r="R81" s="344"/>
      <c r="S81" s="252"/>
      <c r="T81" s="252"/>
      <c r="U81" s="256"/>
      <c r="V81" s="418"/>
      <c r="W81" s="345"/>
      <c r="X81" s="345"/>
      <c r="Y81" s="252"/>
      <c r="Z81" s="252"/>
      <c r="AA81" s="58"/>
    </row>
    <row r="82" spans="2:27" x14ac:dyDescent="0.25">
      <c r="B82" s="336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344"/>
      <c r="O82" s="344"/>
      <c r="P82" s="344"/>
      <c r="Q82" s="344"/>
      <c r="R82" s="344"/>
      <c r="S82" s="252"/>
      <c r="T82" s="252"/>
      <c r="U82" s="256"/>
      <c r="V82" s="418"/>
      <c r="W82" s="345"/>
      <c r="X82" s="345"/>
      <c r="Y82" s="252"/>
      <c r="Z82" s="252"/>
      <c r="AA82" s="58"/>
    </row>
    <row r="83" spans="2:27" x14ac:dyDescent="0.25">
      <c r="B83" s="80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256"/>
      <c r="O83" s="256"/>
      <c r="P83" s="256"/>
      <c r="Q83" s="256"/>
      <c r="R83" s="256"/>
      <c r="S83" s="58"/>
      <c r="T83" s="58"/>
      <c r="U83" s="256"/>
      <c r="V83" s="252"/>
      <c r="W83" s="345"/>
      <c r="X83" s="345"/>
      <c r="Y83" s="252"/>
      <c r="Z83" s="252"/>
      <c r="AA83" s="58"/>
    </row>
    <row r="84" spans="2:27" x14ac:dyDescent="0.2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256"/>
      <c r="O84" s="256"/>
      <c r="P84" s="256"/>
      <c r="Q84" s="256"/>
      <c r="R84" s="256"/>
      <c r="S84" s="58"/>
      <c r="T84" s="58"/>
      <c r="U84" s="256"/>
      <c r="V84" s="418"/>
      <c r="W84" s="345"/>
      <c r="X84" s="345"/>
      <c r="Y84" s="252"/>
      <c r="Z84" s="252"/>
      <c r="AA84" s="58"/>
    </row>
    <row r="85" spans="2:27" x14ac:dyDescent="0.25">
      <c r="B85" s="336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344"/>
      <c r="O85" s="344"/>
      <c r="P85" s="344"/>
      <c r="Q85" s="344"/>
      <c r="R85" s="344"/>
      <c r="S85" s="252"/>
      <c r="T85" s="58"/>
      <c r="U85" s="256"/>
      <c r="V85" s="418"/>
      <c r="W85" s="345"/>
      <c r="X85" s="345"/>
      <c r="Y85" s="252"/>
      <c r="Z85" s="252"/>
      <c r="AA85" s="58"/>
    </row>
    <row r="86" spans="2:27" x14ac:dyDescent="0.25">
      <c r="B86" s="336"/>
      <c r="C86" s="252"/>
      <c r="D86" s="252"/>
      <c r="E86" s="252"/>
      <c r="F86" s="344"/>
      <c r="G86" s="344"/>
      <c r="H86" s="367"/>
      <c r="I86" s="367"/>
      <c r="J86" s="252"/>
      <c r="K86" s="252"/>
      <c r="L86" s="252"/>
      <c r="M86" s="252"/>
      <c r="N86" s="344"/>
      <c r="O86" s="344"/>
      <c r="P86" s="344"/>
      <c r="Q86" s="344"/>
      <c r="R86" s="344"/>
      <c r="S86" s="252"/>
      <c r="T86" s="58"/>
      <c r="U86" s="58"/>
      <c r="V86" s="252"/>
      <c r="W86" s="252"/>
      <c r="X86" s="252"/>
      <c r="Y86" s="252"/>
      <c r="Z86" s="252"/>
      <c r="AA86" s="58"/>
    </row>
    <row r="87" spans="2:27" x14ac:dyDescent="0.25">
      <c r="B87" s="336"/>
      <c r="C87" s="252"/>
      <c r="D87" s="344"/>
      <c r="E87" s="252"/>
      <c r="F87" s="346"/>
      <c r="G87" s="346"/>
      <c r="H87" s="368"/>
      <c r="I87" s="368"/>
      <c r="J87" s="344"/>
      <c r="K87" s="368"/>
      <c r="L87" s="252"/>
      <c r="M87" s="252"/>
      <c r="N87" s="344"/>
      <c r="O87" s="344"/>
      <c r="P87" s="344"/>
      <c r="Q87" s="344"/>
      <c r="R87" s="344"/>
      <c r="S87" s="252"/>
      <c r="T87" s="58"/>
      <c r="U87" s="366"/>
      <c r="V87" s="383"/>
      <c r="W87" s="351"/>
      <c r="X87" s="383"/>
      <c r="Y87" s="252"/>
      <c r="Z87" s="252"/>
      <c r="AA87" s="58"/>
    </row>
    <row r="88" spans="2:27" x14ac:dyDescent="0.25">
      <c r="B88" s="336"/>
      <c r="C88" s="252"/>
      <c r="D88" s="344"/>
      <c r="E88" s="252"/>
      <c r="F88" s="369"/>
      <c r="G88" s="369"/>
      <c r="H88" s="368"/>
      <c r="I88" s="368"/>
      <c r="J88" s="344"/>
      <c r="K88" s="368"/>
      <c r="L88" s="252"/>
      <c r="M88" s="252"/>
      <c r="N88" s="252"/>
      <c r="O88" s="252"/>
      <c r="P88" s="252"/>
      <c r="Q88" s="252"/>
      <c r="R88" s="252"/>
      <c r="S88" s="252"/>
      <c r="T88" s="58"/>
      <c r="U88" s="365"/>
      <c r="V88" s="252"/>
      <c r="W88" s="252"/>
      <c r="X88" s="252"/>
      <c r="Y88" s="351"/>
      <c r="Z88" s="252"/>
      <c r="AA88" s="58"/>
    </row>
    <row r="89" spans="2:27" x14ac:dyDescent="0.25">
      <c r="B89" s="336"/>
      <c r="C89" s="252"/>
      <c r="D89" s="344"/>
      <c r="E89" s="252"/>
      <c r="F89" s="369"/>
      <c r="G89" s="369"/>
      <c r="H89" s="368"/>
      <c r="I89" s="368"/>
      <c r="J89" s="344"/>
      <c r="K89" s="368"/>
      <c r="L89" s="252"/>
      <c r="M89" s="252"/>
      <c r="N89" s="252"/>
      <c r="O89" s="252"/>
      <c r="P89" s="252"/>
      <c r="Q89" s="252"/>
      <c r="R89" s="252"/>
      <c r="S89" s="252"/>
      <c r="T89" s="58"/>
      <c r="U89" s="58"/>
      <c r="V89" s="252"/>
      <c r="W89" s="252"/>
      <c r="X89" s="351"/>
      <c r="Y89" s="252"/>
      <c r="Z89" s="252"/>
      <c r="AA89" s="58"/>
    </row>
    <row r="90" spans="2:27" x14ac:dyDescent="0.25">
      <c r="B90" s="336"/>
      <c r="C90" s="252"/>
      <c r="D90" s="344"/>
      <c r="E90" s="252"/>
      <c r="F90" s="370"/>
      <c r="G90" s="370"/>
      <c r="H90" s="368"/>
      <c r="I90" s="368"/>
      <c r="J90" s="344"/>
      <c r="K90" s="368"/>
      <c r="L90" s="252"/>
      <c r="M90" s="252"/>
      <c r="N90" s="252"/>
      <c r="O90" s="252"/>
      <c r="P90" s="252"/>
      <c r="Q90" s="348"/>
      <c r="R90" s="252"/>
      <c r="S90" s="252"/>
      <c r="T90" s="58"/>
      <c r="U90" s="58"/>
      <c r="V90" s="252"/>
      <c r="W90" s="252"/>
      <c r="X90" s="252"/>
      <c r="Y90" s="252"/>
      <c r="Z90" s="252"/>
      <c r="AA90" s="58"/>
    </row>
    <row r="91" spans="2:27" x14ac:dyDescent="0.25">
      <c r="B91" s="336"/>
      <c r="C91" s="252"/>
      <c r="D91" s="344"/>
      <c r="E91" s="252"/>
      <c r="F91" s="371"/>
      <c r="G91" s="372"/>
      <c r="H91" s="368"/>
      <c r="I91" s="368"/>
      <c r="J91" s="344"/>
      <c r="K91" s="368"/>
      <c r="L91" s="252"/>
      <c r="M91" s="252"/>
      <c r="N91" s="252"/>
      <c r="O91" s="252"/>
      <c r="P91" s="252"/>
      <c r="Q91" s="252"/>
      <c r="R91" s="252"/>
      <c r="S91" s="252"/>
      <c r="T91" s="58"/>
      <c r="U91" s="58"/>
      <c r="V91" s="252"/>
      <c r="W91" s="252"/>
      <c r="X91" s="252"/>
      <c r="Y91" s="252"/>
      <c r="Z91" s="252"/>
      <c r="AA91" s="58"/>
    </row>
    <row r="92" spans="2:27" x14ac:dyDescent="0.25">
      <c r="B92" s="336"/>
      <c r="C92" s="252"/>
      <c r="D92" s="344"/>
      <c r="E92" s="252"/>
      <c r="F92" s="373"/>
      <c r="G92" s="373"/>
      <c r="H92" s="368"/>
      <c r="I92" s="368"/>
      <c r="J92" s="344"/>
      <c r="K92" s="368"/>
      <c r="L92" s="252"/>
      <c r="M92" s="252"/>
      <c r="N92" s="252"/>
      <c r="O92" s="252"/>
      <c r="P92" s="252"/>
      <c r="Q92" s="252"/>
      <c r="R92" s="252"/>
      <c r="S92" s="252"/>
      <c r="T92" s="58"/>
      <c r="U92" s="58"/>
      <c r="V92" s="351"/>
      <c r="W92" s="351"/>
      <c r="X92" s="252"/>
      <c r="Y92" s="252"/>
      <c r="Z92" s="252"/>
      <c r="AA92" s="58"/>
    </row>
    <row r="93" spans="2:27" x14ac:dyDescent="0.25">
      <c r="B93" s="336"/>
      <c r="C93" s="252"/>
      <c r="D93" s="252"/>
      <c r="E93" s="252"/>
      <c r="F93" s="346"/>
      <c r="G93" s="346"/>
      <c r="H93" s="368"/>
      <c r="I93" s="368"/>
      <c r="J93" s="344"/>
      <c r="K93" s="368"/>
      <c r="L93" s="252"/>
      <c r="M93" s="252"/>
      <c r="N93" s="252"/>
      <c r="O93" s="252"/>
      <c r="P93" s="252"/>
      <c r="Q93" s="344"/>
      <c r="R93" s="252"/>
      <c r="S93" s="252"/>
      <c r="T93" s="58"/>
      <c r="U93" s="58"/>
      <c r="V93" s="351"/>
      <c r="W93" s="252"/>
      <c r="X93" s="252"/>
      <c r="Y93" s="252"/>
      <c r="Z93" s="252"/>
      <c r="AA93" s="58"/>
    </row>
    <row r="94" spans="2:27" x14ac:dyDescent="0.25">
      <c r="B94" s="336"/>
      <c r="C94" s="374"/>
      <c r="D94" s="355"/>
      <c r="E94" s="375"/>
      <c r="F94" s="350"/>
      <c r="G94" s="252"/>
      <c r="H94" s="252"/>
      <c r="I94" s="252"/>
      <c r="J94" s="252"/>
      <c r="K94" s="252"/>
      <c r="L94" s="252"/>
      <c r="M94" s="252"/>
      <c r="N94" s="376"/>
      <c r="O94" s="376"/>
      <c r="P94" s="370"/>
      <c r="Q94" s="344"/>
      <c r="R94" s="252"/>
      <c r="S94" s="377"/>
      <c r="T94" s="58"/>
      <c r="U94" s="58"/>
      <c r="V94" s="252"/>
      <c r="W94" s="252"/>
      <c r="X94" s="252"/>
      <c r="Y94" s="252"/>
      <c r="Z94" s="252"/>
      <c r="AA94" s="58"/>
    </row>
    <row r="95" spans="2:27" x14ac:dyDescent="0.25">
      <c r="B95" s="336"/>
      <c r="C95" s="350"/>
      <c r="D95" s="378"/>
      <c r="E95" s="379"/>
      <c r="F95" s="368"/>
      <c r="G95" s="252"/>
      <c r="H95" s="252"/>
      <c r="I95" s="252"/>
      <c r="J95" s="252"/>
      <c r="K95" s="252"/>
      <c r="L95" s="252"/>
      <c r="M95" s="252"/>
      <c r="N95" s="376"/>
      <c r="O95" s="376"/>
      <c r="P95" s="370"/>
      <c r="Q95" s="353"/>
      <c r="R95" s="252"/>
      <c r="S95" s="377"/>
      <c r="T95" s="58"/>
      <c r="U95" s="364"/>
      <c r="V95" s="252"/>
      <c r="W95" s="252"/>
      <c r="X95" s="252"/>
      <c r="Y95" s="252"/>
      <c r="Z95" s="252"/>
      <c r="AA95" s="58"/>
    </row>
    <row r="96" spans="2:27" x14ac:dyDescent="0.25">
      <c r="B96" s="338"/>
      <c r="C96" s="345"/>
      <c r="D96" s="380"/>
      <c r="E96" s="379"/>
      <c r="F96" s="368"/>
      <c r="G96" s="252"/>
      <c r="H96" s="252"/>
      <c r="I96" s="252"/>
      <c r="J96" s="252"/>
      <c r="K96" s="252"/>
      <c r="L96" s="252"/>
      <c r="M96" s="252"/>
      <c r="N96" s="376"/>
      <c r="O96" s="376"/>
      <c r="P96" s="370"/>
      <c r="Q96" s="353"/>
      <c r="R96" s="252"/>
      <c r="S96" s="377"/>
      <c r="T96" s="58"/>
      <c r="U96" s="364"/>
      <c r="V96" s="252"/>
      <c r="W96" s="252"/>
      <c r="X96" s="252"/>
      <c r="Y96" s="252"/>
      <c r="Z96" s="252"/>
      <c r="AA96" s="58"/>
    </row>
    <row r="97" spans="2:27" x14ac:dyDescent="0.25">
      <c r="B97" s="338"/>
      <c r="C97" s="345"/>
      <c r="D97" s="380"/>
      <c r="E97" s="370"/>
      <c r="F97" s="368"/>
      <c r="G97" s="252"/>
      <c r="H97" s="377"/>
      <c r="I97" s="252"/>
      <c r="J97" s="252"/>
      <c r="K97" s="252"/>
      <c r="L97" s="252"/>
      <c r="M97" s="252"/>
      <c r="N97" s="376"/>
      <c r="O97" s="376"/>
      <c r="P97" s="370"/>
      <c r="Q97" s="353"/>
      <c r="R97" s="252"/>
      <c r="S97" s="252"/>
      <c r="T97" s="58"/>
      <c r="U97" s="364"/>
      <c r="V97" s="252"/>
      <c r="W97" s="252"/>
      <c r="X97" s="252"/>
      <c r="Y97" s="252"/>
      <c r="Z97" s="252"/>
      <c r="AA97" s="58"/>
    </row>
    <row r="98" spans="2:27" x14ac:dyDescent="0.25">
      <c r="B98" s="337"/>
      <c r="C98" s="344"/>
      <c r="D98" s="380"/>
      <c r="E98" s="346"/>
      <c r="F98" s="368"/>
      <c r="G98" s="252"/>
      <c r="H98" s="377"/>
      <c r="I98" s="381"/>
      <c r="J98" s="252"/>
      <c r="K98" s="252"/>
      <c r="L98" s="252"/>
      <c r="M98" s="252"/>
      <c r="N98" s="252"/>
      <c r="O98" s="252"/>
      <c r="P98" s="382"/>
      <c r="Q98" s="344"/>
      <c r="R98" s="252"/>
      <c r="S98" s="252"/>
      <c r="T98" s="58"/>
      <c r="U98" s="364"/>
      <c r="V98" s="252"/>
      <c r="W98" s="252"/>
      <c r="X98" s="252"/>
      <c r="Y98" s="252"/>
      <c r="Z98" s="252"/>
      <c r="AA98" s="58"/>
    </row>
    <row r="99" spans="2:27" x14ac:dyDescent="0.25">
      <c r="B99" s="336"/>
      <c r="C99" s="252"/>
      <c r="D99" s="378"/>
      <c r="E99" s="383"/>
      <c r="F99" s="354"/>
      <c r="G99" s="252"/>
      <c r="H99" s="377"/>
      <c r="I99" s="252"/>
      <c r="J99" s="252"/>
      <c r="K99" s="252"/>
      <c r="L99" s="252"/>
      <c r="M99" s="252"/>
      <c r="N99" s="252"/>
      <c r="O99" s="351"/>
      <c r="P99" s="351"/>
      <c r="Q99" s="344"/>
      <c r="R99" s="252"/>
      <c r="S99" s="252"/>
      <c r="T99" s="58"/>
      <c r="U99" s="58"/>
      <c r="V99" s="252"/>
      <c r="W99" s="252"/>
      <c r="X99" s="252"/>
      <c r="Y99" s="252"/>
      <c r="Z99" s="252"/>
      <c r="AA99" s="58"/>
    </row>
    <row r="100" spans="2:27" x14ac:dyDescent="0.25">
      <c r="B100" s="336"/>
      <c r="C100" s="252"/>
      <c r="D100" s="384"/>
      <c r="E100" s="385"/>
      <c r="F100" s="386"/>
      <c r="G100" s="386"/>
      <c r="H100" s="385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58"/>
      <c r="U100" s="17"/>
      <c r="V100" s="344"/>
      <c r="W100" s="344"/>
      <c r="X100" s="344"/>
      <c r="Y100" s="252"/>
      <c r="Z100" s="252"/>
      <c r="AA100" s="58"/>
    </row>
    <row r="101" spans="2:27" ht="19.5" customHeight="1" x14ac:dyDescent="0.25">
      <c r="B101" s="336"/>
      <c r="C101" s="252"/>
      <c r="D101" s="360"/>
      <c r="E101" s="347"/>
      <c r="F101" s="370"/>
      <c r="G101" s="387"/>
      <c r="H101" s="388"/>
      <c r="I101" s="252"/>
      <c r="J101" s="252"/>
      <c r="K101" s="347"/>
      <c r="L101" s="347"/>
      <c r="M101" s="252"/>
      <c r="N101" s="389"/>
      <c r="O101" s="376"/>
      <c r="P101" s="354"/>
      <c r="Q101" s="252"/>
      <c r="R101" s="252"/>
      <c r="S101" s="252"/>
      <c r="T101" s="58"/>
      <c r="U101" s="17"/>
      <c r="V101" s="419"/>
      <c r="W101" s="419"/>
      <c r="X101" s="420"/>
      <c r="Y101" s="351"/>
      <c r="Z101" s="252"/>
      <c r="AA101" s="58"/>
    </row>
    <row r="102" spans="2:27" ht="19.5" customHeight="1" x14ac:dyDescent="0.25">
      <c r="B102" s="336"/>
      <c r="C102" s="252"/>
      <c r="D102" s="390"/>
      <c r="E102" s="370"/>
      <c r="F102" s="370"/>
      <c r="G102" s="391"/>
      <c r="H102" s="388"/>
      <c r="I102" s="252"/>
      <c r="J102" s="252"/>
      <c r="K102" s="347"/>
      <c r="L102" s="347"/>
      <c r="M102" s="252"/>
      <c r="N102" s="389"/>
      <c r="O102" s="252"/>
      <c r="P102" s="344"/>
      <c r="Q102" s="252"/>
      <c r="R102" s="252"/>
      <c r="S102" s="252"/>
      <c r="T102" s="58"/>
      <c r="U102" s="258"/>
      <c r="V102" s="377"/>
      <c r="W102" s="377"/>
      <c r="X102" s="358"/>
      <c r="Y102" s="351"/>
      <c r="Z102" s="252"/>
      <c r="AA102" s="58"/>
    </row>
    <row r="103" spans="2:27" x14ac:dyDescent="0.25">
      <c r="B103" s="336"/>
      <c r="C103" s="252"/>
      <c r="D103" s="392"/>
      <c r="E103" s="370"/>
      <c r="F103" s="370"/>
      <c r="G103" s="347"/>
      <c r="H103" s="388"/>
      <c r="I103" s="252"/>
      <c r="J103" s="252"/>
      <c r="K103" s="347"/>
      <c r="L103" s="347"/>
      <c r="M103" s="252"/>
      <c r="N103" s="389"/>
      <c r="O103" s="393"/>
      <c r="P103" s="387"/>
      <c r="Q103" s="252"/>
      <c r="R103" s="252"/>
      <c r="S103" s="252"/>
      <c r="T103" s="58"/>
      <c r="U103" s="258"/>
      <c r="V103" s="419"/>
      <c r="W103" s="419"/>
      <c r="X103" s="358"/>
      <c r="Y103" s="351"/>
      <c r="Z103" s="252"/>
      <c r="AA103" s="58"/>
    </row>
    <row r="104" spans="2:27" ht="25.5" customHeight="1" x14ac:dyDescent="0.25">
      <c r="B104" s="336"/>
      <c r="C104" s="252"/>
      <c r="D104" s="394"/>
      <c r="E104" s="370"/>
      <c r="F104" s="370"/>
      <c r="G104" s="347"/>
      <c r="H104" s="388"/>
      <c r="I104" s="252"/>
      <c r="J104" s="252"/>
      <c r="K104" s="347"/>
      <c r="L104" s="347"/>
      <c r="M104" s="252"/>
      <c r="N104" s="389"/>
      <c r="O104" s="393"/>
      <c r="P104" s="387"/>
      <c r="Q104" s="252"/>
      <c r="R104" s="252"/>
      <c r="S104" s="252"/>
      <c r="T104" s="58"/>
      <c r="U104" s="258"/>
      <c r="V104" s="421"/>
      <c r="W104" s="421"/>
      <c r="X104" s="422"/>
      <c r="Y104" s="351"/>
      <c r="Z104" s="252"/>
      <c r="AA104" s="58"/>
    </row>
    <row r="105" spans="2:27" ht="25.5" customHeight="1" x14ac:dyDescent="0.25">
      <c r="B105" s="336"/>
      <c r="C105" s="252"/>
      <c r="D105" s="394"/>
      <c r="E105" s="370"/>
      <c r="F105" s="370"/>
      <c r="G105" s="347"/>
      <c r="H105" s="388"/>
      <c r="I105" s="252"/>
      <c r="J105" s="252"/>
      <c r="K105" s="347"/>
      <c r="L105" s="347"/>
      <c r="M105" s="252"/>
      <c r="N105" s="389"/>
      <c r="O105" s="393"/>
      <c r="P105" s="387"/>
      <c r="Q105" s="252"/>
      <c r="R105" s="252"/>
      <c r="S105" s="252"/>
      <c r="T105" s="58"/>
      <c r="U105" s="258"/>
      <c r="V105" s="423"/>
      <c r="W105" s="423"/>
      <c r="X105" s="422"/>
      <c r="Y105" s="252"/>
      <c r="Z105" s="252"/>
      <c r="AA105" s="58"/>
    </row>
    <row r="106" spans="2:27" ht="16.5" customHeight="1" x14ac:dyDescent="0.25">
      <c r="B106" s="336"/>
      <c r="C106" s="252"/>
      <c r="D106" s="394"/>
      <c r="E106" s="370"/>
      <c r="F106" s="370"/>
      <c r="G106" s="347"/>
      <c r="H106" s="388"/>
      <c r="I106" s="252"/>
      <c r="J106" s="252"/>
      <c r="K106" s="347"/>
      <c r="L106" s="347"/>
      <c r="M106" s="252"/>
      <c r="N106" s="389"/>
      <c r="O106" s="393"/>
      <c r="P106" s="387"/>
      <c r="Q106" s="252"/>
      <c r="R106" s="252"/>
      <c r="S106" s="252"/>
      <c r="T106" s="58"/>
      <c r="U106" s="424"/>
      <c r="V106" s="425"/>
      <c r="W106" s="425"/>
      <c r="X106" s="422"/>
      <c r="Y106" s="252"/>
      <c r="Z106" s="252"/>
      <c r="AA106" s="58"/>
    </row>
    <row r="107" spans="2:27" x14ac:dyDescent="0.25">
      <c r="B107" s="336"/>
      <c r="C107" s="252"/>
      <c r="D107" s="376"/>
      <c r="E107" s="347"/>
      <c r="F107" s="347"/>
      <c r="G107" s="347"/>
      <c r="H107" s="388"/>
      <c r="I107" s="344"/>
      <c r="J107" s="252"/>
      <c r="K107" s="347"/>
      <c r="L107" s="347"/>
      <c r="M107" s="387"/>
      <c r="N107" s="389"/>
      <c r="O107" s="393"/>
      <c r="P107" s="387"/>
      <c r="Q107" s="252"/>
      <c r="R107" s="252"/>
      <c r="S107" s="252"/>
      <c r="T107" s="58"/>
      <c r="U107" s="424"/>
      <c r="V107" s="425"/>
      <c r="W107" s="425"/>
      <c r="X107" s="426"/>
      <c r="Y107" s="252"/>
      <c r="Z107" s="252"/>
      <c r="AA107" s="58"/>
    </row>
    <row r="108" spans="2:27" x14ac:dyDescent="0.25">
      <c r="B108" s="336"/>
      <c r="C108" s="252"/>
      <c r="D108" s="376"/>
      <c r="E108" s="347"/>
      <c r="F108" s="347"/>
      <c r="G108" s="347"/>
      <c r="H108" s="388"/>
      <c r="I108" s="344"/>
      <c r="J108" s="252"/>
      <c r="K108" s="347"/>
      <c r="L108" s="347"/>
      <c r="M108" s="387"/>
      <c r="N108" s="389"/>
      <c r="O108" s="393"/>
      <c r="P108" s="387"/>
      <c r="Q108" s="252"/>
      <c r="R108" s="252"/>
      <c r="S108" s="252"/>
      <c r="T108" s="58"/>
      <c r="U108" s="424"/>
      <c r="V108" s="427"/>
      <c r="W108" s="427"/>
      <c r="X108" s="426"/>
      <c r="Y108" s="252"/>
      <c r="Z108" s="252"/>
      <c r="AA108" s="58"/>
    </row>
    <row r="109" spans="2:27" x14ac:dyDescent="0.25">
      <c r="B109" s="336"/>
      <c r="C109" s="252"/>
      <c r="D109" s="376"/>
      <c r="E109" s="347"/>
      <c r="F109" s="347"/>
      <c r="G109" s="347"/>
      <c r="H109" s="388"/>
      <c r="I109" s="344"/>
      <c r="J109" s="252"/>
      <c r="K109" s="347"/>
      <c r="L109" s="347"/>
      <c r="M109" s="387"/>
      <c r="N109" s="389"/>
      <c r="O109" s="393"/>
      <c r="P109" s="387"/>
      <c r="Q109" s="252"/>
      <c r="R109" s="252"/>
      <c r="S109" s="252"/>
      <c r="T109" s="58"/>
      <c r="U109" s="424"/>
      <c r="V109" s="425"/>
      <c r="W109" s="425"/>
      <c r="X109" s="426"/>
      <c r="Y109" s="252"/>
      <c r="Z109" s="252"/>
      <c r="AA109" s="58"/>
    </row>
    <row r="110" spans="2:27" x14ac:dyDescent="0.25">
      <c r="B110" s="336"/>
      <c r="C110" s="252"/>
      <c r="D110" s="376"/>
      <c r="E110" s="347"/>
      <c r="F110" s="347"/>
      <c r="G110" s="347"/>
      <c r="H110" s="388"/>
      <c r="I110" s="344"/>
      <c r="J110" s="252"/>
      <c r="K110" s="347"/>
      <c r="L110" s="345"/>
      <c r="M110" s="387"/>
      <c r="N110" s="389"/>
      <c r="O110" s="393"/>
      <c r="P110" s="387"/>
      <c r="Q110" s="252"/>
      <c r="R110" s="252"/>
      <c r="S110" s="252"/>
      <c r="T110" s="58"/>
      <c r="U110" s="17"/>
      <c r="V110" s="377"/>
      <c r="W110" s="377"/>
      <c r="X110" s="358"/>
      <c r="Y110" s="252"/>
      <c r="Z110" s="252"/>
      <c r="AA110" s="58"/>
    </row>
    <row r="111" spans="2:27" x14ac:dyDescent="0.25">
      <c r="B111" s="336"/>
      <c r="C111" s="252"/>
      <c r="D111" s="395"/>
      <c r="E111" s="396"/>
      <c r="F111" s="396"/>
      <c r="G111" s="396"/>
      <c r="H111" s="396"/>
      <c r="I111" s="252"/>
      <c r="J111" s="252"/>
      <c r="K111" s="351"/>
      <c r="L111" s="252"/>
      <c r="M111" s="252"/>
      <c r="N111" s="376"/>
      <c r="O111" s="393"/>
      <c r="P111" s="387"/>
      <c r="Q111" s="252"/>
      <c r="R111" s="252"/>
      <c r="S111" s="252"/>
      <c r="T111" s="58"/>
      <c r="U111" s="17"/>
      <c r="V111" s="377"/>
      <c r="W111" s="377"/>
      <c r="X111" s="358"/>
      <c r="Y111" s="252"/>
      <c r="Z111" s="252"/>
      <c r="AA111" s="58"/>
    </row>
    <row r="112" spans="2:27" x14ac:dyDescent="0.25">
      <c r="B112" s="336"/>
      <c r="C112" s="252"/>
      <c r="D112" s="395"/>
      <c r="E112" s="396"/>
      <c r="F112" s="396"/>
      <c r="G112" s="396"/>
      <c r="H112" s="396"/>
      <c r="I112" s="252"/>
      <c r="J112" s="252"/>
      <c r="K112" s="252"/>
      <c r="L112" s="252"/>
      <c r="M112" s="252"/>
      <c r="N112" s="376"/>
      <c r="O112" s="393"/>
      <c r="P112" s="387"/>
      <c r="Q112" s="252"/>
      <c r="R112" s="252"/>
      <c r="S112" s="252"/>
      <c r="T112" s="58"/>
      <c r="U112" s="17"/>
      <c r="V112" s="377"/>
      <c r="W112" s="377"/>
      <c r="X112" s="358"/>
      <c r="Y112" s="351"/>
      <c r="Z112" s="252"/>
      <c r="AA112" s="58"/>
    </row>
    <row r="113" spans="2:27" x14ac:dyDescent="0.25">
      <c r="B113" s="336"/>
      <c r="C113" s="252"/>
      <c r="D113" s="358"/>
      <c r="E113" s="396"/>
      <c r="F113" s="380"/>
      <c r="G113" s="380"/>
      <c r="H113" s="380"/>
      <c r="I113" s="252"/>
      <c r="J113" s="252"/>
      <c r="K113" s="252"/>
      <c r="L113" s="252"/>
      <c r="M113" s="252"/>
      <c r="N113" s="252"/>
      <c r="O113" s="397"/>
      <c r="P113" s="370"/>
      <c r="Q113" s="252"/>
      <c r="R113" s="252"/>
      <c r="S113" s="252"/>
      <c r="T113" s="58"/>
      <c r="U113" s="17"/>
      <c r="V113" s="387"/>
      <c r="W113" s="387"/>
      <c r="X113" s="428"/>
      <c r="Y113" s="252"/>
      <c r="Z113" s="252"/>
      <c r="AA113" s="58"/>
    </row>
    <row r="114" spans="2:27" x14ac:dyDescent="0.25">
      <c r="B114" s="336"/>
      <c r="C114" s="252"/>
      <c r="D114" s="376"/>
      <c r="E114" s="375"/>
      <c r="F114" s="398"/>
      <c r="G114" s="375"/>
      <c r="H114" s="375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58"/>
      <c r="U114" s="15"/>
      <c r="V114" s="421"/>
      <c r="W114" s="421"/>
      <c r="X114" s="422"/>
      <c r="Y114" s="351"/>
      <c r="Z114" s="252"/>
      <c r="AA114" s="58"/>
    </row>
    <row r="115" spans="2:27" x14ac:dyDescent="0.25">
      <c r="B115" s="336"/>
      <c r="C115" s="252"/>
      <c r="D115" s="360"/>
      <c r="E115" s="347"/>
      <c r="F115" s="347"/>
      <c r="G115" s="370"/>
      <c r="H115" s="399"/>
      <c r="I115" s="252"/>
      <c r="J115" s="252"/>
      <c r="K115" s="344"/>
      <c r="L115" s="252"/>
      <c r="M115" s="400"/>
      <c r="N115" s="252"/>
      <c r="O115" s="252"/>
      <c r="P115" s="252"/>
      <c r="Q115" s="252"/>
      <c r="R115" s="252"/>
      <c r="S115" s="252"/>
      <c r="T115" s="58"/>
      <c r="U115" s="158"/>
      <c r="V115" s="391"/>
      <c r="W115" s="391"/>
      <c r="X115" s="429"/>
      <c r="Y115" s="351"/>
      <c r="Z115" s="252"/>
      <c r="AA115" s="58"/>
    </row>
    <row r="116" spans="2:27" x14ac:dyDescent="0.25">
      <c r="B116" s="336"/>
      <c r="C116" s="252"/>
      <c r="D116" s="390"/>
      <c r="E116" s="370"/>
      <c r="F116" s="370"/>
      <c r="G116" s="370"/>
      <c r="H116" s="388"/>
      <c r="I116" s="252"/>
      <c r="J116" s="252"/>
      <c r="K116" s="252"/>
      <c r="L116" s="252"/>
      <c r="M116" s="401"/>
      <c r="N116" s="252"/>
      <c r="O116" s="252"/>
      <c r="P116" s="252"/>
      <c r="Q116" s="252"/>
      <c r="R116" s="252"/>
      <c r="S116" s="252"/>
      <c r="T116" s="58"/>
      <c r="U116" s="58"/>
      <c r="V116" s="252"/>
      <c r="W116" s="252"/>
      <c r="X116" s="252"/>
      <c r="Y116" s="252"/>
      <c r="Z116" s="252"/>
      <c r="AA116" s="58"/>
    </row>
    <row r="117" spans="2:27" x14ac:dyDescent="0.25">
      <c r="B117" s="336"/>
      <c r="C117" s="252"/>
      <c r="D117" s="390"/>
      <c r="E117" s="370"/>
      <c r="F117" s="370"/>
      <c r="G117" s="370"/>
      <c r="H117" s="388"/>
      <c r="I117" s="252"/>
      <c r="J117" s="252"/>
      <c r="K117" s="252"/>
      <c r="L117" s="252"/>
      <c r="M117" s="387"/>
      <c r="N117" s="252"/>
      <c r="O117" s="252"/>
      <c r="P117" s="252"/>
      <c r="Q117" s="252"/>
      <c r="R117" s="252"/>
      <c r="S117" s="252"/>
      <c r="T117" s="58"/>
      <c r="U117" s="58"/>
      <c r="V117" s="252"/>
      <c r="W117" s="252"/>
      <c r="X117" s="252"/>
      <c r="Y117" s="252"/>
      <c r="Z117" s="252"/>
      <c r="AA117" s="58"/>
    </row>
    <row r="118" spans="2:27" x14ac:dyDescent="0.25">
      <c r="B118" s="336"/>
      <c r="C118" s="252"/>
      <c r="D118" s="392"/>
      <c r="E118" s="370"/>
      <c r="F118" s="370"/>
      <c r="G118" s="370"/>
      <c r="H118" s="388"/>
      <c r="I118" s="252"/>
      <c r="J118" s="252"/>
      <c r="K118" s="252"/>
      <c r="L118" s="252"/>
      <c r="M118" s="372"/>
      <c r="N118" s="344"/>
      <c r="O118" s="252"/>
      <c r="P118" s="252"/>
      <c r="Q118" s="252"/>
      <c r="R118" s="252"/>
      <c r="S118" s="252"/>
      <c r="T118" s="58"/>
      <c r="U118" s="58"/>
      <c r="V118" s="252"/>
      <c r="W118" s="252"/>
      <c r="X118" s="252"/>
      <c r="Y118" s="252"/>
      <c r="Z118" s="252"/>
      <c r="AA118" s="58"/>
    </row>
    <row r="119" spans="2:27" x14ac:dyDescent="0.25">
      <c r="B119" s="336"/>
      <c r="C119" s="252"/>
      <c r="D119" s="386"/>
      <c r="E119" s="347"/>
      <c r="F119" s="347"/>
      <c r="G119" s="347"/>
      <c r="H119" s="388"/>
      <c r="I119" s="344"/>
      <c r="J119" s="252"/>
      <c r="K119" s="344"/>
      <c r="L119" s="344"/>
      <c r="M119" s="391"/>
      <c r="N119" s="252"/>
      <c r="O119" s="252"/>
      <c r="P119" s="252"/>
      <c r="Q119" s="252"/>
      <c r="R119" s="252"/>
      <c r="S119" s="252"/>
      <c r="T119" s="58"/>
      <c r="V119" s="336"/>
      <c r="W119" s="336"/>
      <c r="X119" s="336"/>
      <c r="Y119" s="336"/>
      <c r="Z119" s="336"/>
    </row>
    <row r="120" spans="2:27" x14ac:dyDescent="0.25">
      <c r="B120" s="336"/>
      <c r="C120" s="252"/>
      <c r="D120" s="402"/>
      <c r="E120" s="347"/>
      <c r="F120" s="347"/>
      <c r="G120" s="347"/>
      <c r="H120" s="403"/>
      <c r="I120" s="344"/>
      <c r="J120" s="252"/>
      <c r="K120" s="252"/>
      <c r="L120" s="252"/>
      <c r="M120" s="401"/>
      <c r="N120" s="252"/>
      <c r="O120" s="252"/>
      <c r="P120" s="252"/>
      <c r="Q120" s="252"/>
      <c r="R120" s="252"/>
      <c r="S120" s="252"/>
      <c r="T120" s="58"/>
      <c r="V120" s="336"/>
      <c r="W120" s="336"/>
      <c r="X120" s="336"/>
      <c r="Y120" s="336"/>
      <c r="Z120" s="336"/>
    </row>
    <row r="121" spans="2:27" x14ac:dyDescent="0.25">
      <c r="B121" s="336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387"/>
      <c r="N121" s="344"/>
      <c r="O121" s="252"/>
      <c r="P121" s="252"/>
      <c r="Q121" s="252"/>
      <c r="R121" s="252"/>
      <c r="S121" s="252"/>
      <c r="T121" s="58"/>
      <c r="V121" s="336"/>
      <c r="W121" s="336"/>
      <c r="X121" s="336"/>
      <c r="Y121" s="336"/>
      <c r="Z121" s="336"/>
    </row>
    <row r="122" spans="2:27" x14ac:dyDescent="0.25">
      <c r="B122" s="337"/>
      <c r="C122" s="252"/>
      <c r="D122" s="360"/>
      <c r="E122" s="344"/>
      <c r="F122" s="383"/>
      <c r="G122" s="352"/>
      <c r="H122" s="252"/>
      <c r="I122" s="252"/>
      <c r="J122" s="252"/>
      <c r="K122" s="252"/>
      <c r="L122" s="252"/>
      <c r="M122" s="252"/>
      <c r="N122" s="344"/>
      <c r="O122" s="252"/>
      <c r="P122" s="252"/>
      <c r="Q122" s="252"/>
      <c r="R122" s="252"/>
      <c r="S122" s="252"/>
      <c r="T122" s="58"/>
      <c r="V122" s="336"/>
      <c r="W122" s="336"/>
      <c r="X122" s="336"/>
      <c r="Y122" s="336"/>
      <c r="Z122" s="336"/>
    </row>
    <row r="123" spans="2:27" x14ac:dyDescent="0.25">
      <c r="B123" s="336"/>
      <c r="C123" s="252"/>
      <c r="D123" s="390"/>
      <c r="E123" s="344"/>
      <c r="F123" s="383"/>
      <c r="G123" s="352"/>
      <c r="H123" s="252"/>
      <c r="I123" s="252"/>
      <c r="J123" s="252"/>
      <c r="K123" s="252"/>
      <c r="L123" s="252"/>
      <c r="M123" s="347"/>
      <c r="N123" s="252"/>
      <c r="O123" s="252"/>
      <c r="P123" s="252"/>
      <c r="Q123" s="252"/>
      <c r="R123" s="252"/>
      <c r="S123" s="252"/>
      <c r="T123" s="58"/>
      <c r="V123" s="336"/>
      <c r="W123" s="336"/>
      <c r="X123" s="336"/>
      <c r="Y123" s="336"/>
      <c r="Z123" s="336"/>
    </row>
    <row r="124" spans="2:27" x14ac:dyDescent="0.25">
      <c r="B124" s="336"/>
      <c r="C124" s="252"/>
      <c r="D124" s="252"/>
      <c r="E124" s="404"/>
      <c r="F124" s="405"/>
      <c r="G124" s="252"/>
      <c r="H124" s="252"/>
      <c r="I124" s="351"/>
      <c r="J124" s="252"/>
      <c r="K124" s="252"/>
      <c r="L124" s="252"/>
      <c r="M124" s="383"/>
      <c r="N124" s="377"/>
      <c r="O124" s="347"/>
      <c r="P124" s="344"/>
      <c r="Q124" s="252"/>
      <c r="R124" s="252"/>
      <c r="S124" s="252"/>
      <c r="T124" s="58"/>
      <c r="V124" s="336"/>
      <c r="W124" s="336"/>
      <c r="X124" s="336"/>
      <c r="Y124" s="336"/>
      <c r="Z124" s="336"/>
    </row>
    <row r="125" spans="2:27" x14ac:dyDescent="0.25">
      <c r="B125" s="336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58"/>
      <c r="V125" s="336"/>
      <c r="W125" s="336"/>
      <c r="X125" s="336"/>
      <c r="Y125" s="336"/>
      <c r="Z125" s="336"/>
    </row>
    <row r="126" spans="2:27" ht="15.75" x14ac:dyDescent="0.25">
      <c r="B126" s="336"/>
      <c r="C126" s="252"/>
      <c r="D126" s="252"/>
      <c r="E126" s="406"/>
      <c r="F126" s="407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58"/>
    </row>
    <row r="127" spans="2:27" x14ac:dyDescent="0.25">
      <c r="B127" s="336"/>
      <c r="C127" s="344"/>
      <c r="D127" s="252"/>
      <c r="E127" s="252"/>
      <c r="F127" s="252"/>
      <c r="G127" s="252"/>
      <c r="H127" s="252"/>
      <c r="I127" s="344"/>
      <c r="J127" s="387"/>
      <c r="K127" s="252"/>
      <c r="L127" s="252"/>
      <c r="M127" s="377"/>
      <c r="N127" s="252"/>
      <c r="O127" s="252"/>
      <c r="P127" s="252"/>
      <c r="Q127" s="252"/>
      <c r="R127" s="252"/>
      <c r="S127" s="252"/>
      <c r="T127" s="58"/>
    </row>
    <row r="128" spans="2:27" x14ac:dyDescent="0.25">
      <c r="C128" s="256"/>
      <c r="D128" s="58"/>
      <c r="E128" s="58"/>
      <c r="F128" s="58"/>
      <c r="G128" s="58"/>
      <c r="H128" s="58"/>
      <c r="I128" s="58"/>
      <c r="J128" s="58"/>
      <c r="K128" s="58"/>
      <c r="L128" s="58"/>
      <c r="M128" s="362"/>
      <c r="N128" s="58"/>
      <c r="O128" s="58"/>
      <c r="P128" s="58"/>
      <c r="Q128" s="58"/>
      <c r="R128" s="58"/>
      <c r="S128" s="58"/>
      <c r="T128" s="58"/>
    </row>
    <row r="129" spans="3:20" x14ac:dyDescent="0.2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362"/>
      <c r="N129" s="58"/>
      <c r="O129" s="58"/>
      <c r="P129" s="58"/>
      <c r="Q129" s="58"/>
      <c r="R129" s="58"/>
      <c r="S129" s="58"/>
      <c r="T129" s="58"/>
    </row>
    <row r="130" spans="3:20" x14ac:dyDescent="0.2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</row>
    <row r="131" spans="3:20" x14ac:dyDescent="0.2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</sheetData>
  <mergeCells count="76">
    <mergeCell ref="D2:Q2"/>
    <mergeCell ref="G3:N3"/>
    <mergeCell ref="R4:T4"/>
    <mergeCell ref="A5:A10"/>
    <mergeCell ref="B5:C10"/>
    <mergeCell ref="D5:F10"/>
    <mergeCell ref="G5:I10"/>
    <mergeCell ref="J5:L5"/>
    <mergeCell ref="M5:O5"/>
    <mergeCell ref="P5:R5"/>
    <mergeCell ref="J6:L6"/>
    <mergeCell ref="M6:O6"/>
    <mergeCell ref="P6:R6"/>
    <mergeCell ref="J7:L7"/>
    <mergeCell ref="M7:O7"/>
    <mergeCell ref="P7:R7"/>
    <mergeCell ref="J8:L8"/>
    <mergeCell ref="M8:O8"/>
    <mergeCell ref="P8:R8"/>
    <mergeCell ref="J9:L9"/>
    <mergeCell ref="M9:O9"/>
    <mergeCell ref="P9:R9"/>
    <mergeCell ref="J10:L10"/>
    <mergeCell ref="M10:O10"/>
    <mergeCell ref="B11:C11"/>
    <mergeCell ref="E11:E12"/>
    <mergeCell ref="F11:F12"/>
    <mergeCell ref="H11:H12"/>
    <mergeCell ref="I11:I12"/>
    <mergeCell ref="K11:K12"/>
    <mergeCell ref="L11:L12"/>
    <mergeCell ref="N11:N12"/>
    <mergeCell ref="B26:C26"/>
    <mergeCell ref="O11:O12"/>
    <mergeCell ref="Q11:Q12"/>
    <mergeCell ref="R11:R12"/>
    <mergeCell ref="B13:C13"/>
    <mergeCell ref="B15:C15"/>
    <mergeCell ref="B16:C16"/>
    <mergeCell ref="B19:C19"/>
    <mergeCell ref="B20:C20"/>
    <mergeCell ref="B22:C22"/>
    <mergeCell ref="B23:C23"/>
    <mergeCell ref="B24:C24"/>
    <mergeCell ref="B42:C42"/>
    <mergeCell ref="B27:C27"/>
    <mergeCell ref="B28:C28"/>
    <mergeCell ref="B30:C30"/>
    <mergeCell ref="B31:C31"/>
    <mergeCell ref="B32:C32"/>
    <mergeCell ref="B34:C34"/>
    <mergeCell ref="B35:C35"/>
    <mergeCell ref="B36:C36"/>
    <mergeCell ref="B38:C38"/>
    <mergeCell ref="B39:C39"/>
    <mergeCell ref="B40:C40"/>
    <mergeCell ref="B58:C58"/>
    <mergeCell ref="B43:C43"/>
    <mergeCell ref="B44:C44"/>
    <mergeCell ref="B46:C46"/>
    <mergeCell ref="B47:C47"/>
    <mergeCell ref="B48:C48"/>
    <mergeCell ref="B50:C50"/>
    <mergeCell ref="B51:C51"/>
    <mergeCell ref="B52:C52"/>
    <mergeCell ref="B54:C54"/>
    <mergeCell ref="B55:C55"/>
    <mergeCell ref="B56:C56"/>
    <mergeCell ref="B67:C67"/>
    <mergeCell ref="B68:C68"/>
    <mergeCell ref="B59:C59"/>
    <mergeCell ref="B60:C60"/>
    <mergeCell ref="B62:C62"/>
    <mergeCell ref="B63:C63"/>
    <mergeCell ref="B64:C64"/>
    <mergeCell ref="B66:C66"/>
  </mergeCells>
  <pageMargins left="0" right="0" top="0" bottom="0" header="0" footer="0"/>
  <pageSetup paperSize="9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2"/>
  <sheetViews>
    <sheetView zoomScaleNormal="100" workbookViewId="0">
      <selection activeCell="K25" sqref="K24:K25"/>
    </sheetView>
  </sheetViews>
  <sheetFormatPr defaultRowHeight="15" x14ac:dyDescent="0.25"/>
  <cols>
    <col min="1" max="1" width="3.42578125" customWidth="1"/>
    <col min="2" max="2" width="13.5703125" bestFit="1" customWidth="1"/>
    <col min="3" max="3" width="11.140625" customWidth="1"/>
    <col min="4" max="4" width="10.5703125" customWidth="1"/>
    <col min="5" max="5" width="11.5703125" customWidth="1"/>
    <col min="6" max="6" width="10.42578125" customWidth="1"/>
    <col min="7" max="7" width="9.42578125" customWidth="1"/>
    <col min="8" max="10" width="9.7109375" customWidth="1"/>
    <col min="11" max="11" width="9.28515625" customWidth="1"/>
    <col min="12" max="12" width="9.5703125" customWidth="1"/>
    <col min="13" max="13" width="9.85546875" customWidth="1"/>
    <col min="14" max="14" width="9.5703125" customWidth="1"/>
    <col min="15" max="15" width="8.28515625" customWidth="1"/>
    <col min="16" max="16" width="9.85546875" customWidth="1"/>
    <col min="17" max="17" width="10" customWidth="1"/>
    <col min="18" max="18" width="7.7109375" customWidth="1"/>
    <col min="19" max="19" width="10.28515625" customWidth="1"/>
    <col min="21" max="21" width="14.42578125" customWidth="1"/>
    <col min="22" max="22" width="13.42578125" customWidth="1"/>
    <col min="23" max="23" width="15.7109375" customWidth="1"/>
    <col min="24" max="24" width="7.85546875" customWidth="1"/>
    <col min="25" max="25" width="13.28515625" bestFit="1" customWidth="1"/>
    <col min="26" max="26" width="9.5703125" bestFit="1" customWidth="1"/>
  </cols>
  <sheetData>
    <row r="1" spans="1:25" x14ac:dyDescent="0.25">
      <c r="R1" s="26" t="s">
        <v>24</v>
      </c>
      <c r="S1" s="26"/>
    </row>
    <row r="2" spans="1:25" ht="18.75" x14ac:dyDescent="0.25">
      <c r="D2" s="736" t="s">
        <v>26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</row>
    <row r="3" spans="1:25" ht="24.75" customHeight="1" x14ac:dyDescent="0.25">
      <c r="F3" s="62"/>
      <c r="G3" s="736" t="s">
        <v>127</v>
      </c>
      <c r="H3" s="737"/>
      <c r="I3" s="737"/>
      <c r="J3" s="737"/>
      <c r="K3" s="737"/>
      <c r="L3" s="737"/>
      <c r="M3" s="737"/>
      <c r="N3" s="737"/>
      <c r="O3" s="62"/>
      <c r="P3" s="62"/>
    </row>
    <row r="4" spans="1:25" x14ac:dyDescent="0.25">
      <c r="D4" s="18"/>
      <c r="E4" s="19"/>
      <c r="F4" s="19"/>
      <c r="G4" s="15"/>
      <c r="H4" s="19"/>
      <c r="I4" s="15"/>
    </row>
    <row r="5" spans="1:25" ht="12" customHeight="1" thickBot="1" x14ac:dyDescent="0.3">
      <c r="D5" s="18"/>
      <c r="E5" s="19"/>
      <c r="F5" s="19"/>
      <c r="G5" s="15"/>
      <c r="H5" s="19"/>
      <c r="I5" s="15"/>
      <c r="R5" s="739" t="s">
        <v>128</v>
      </c>
      <c r="S5" s="739"/>
      <c r="T5" s="739"/>
    </row>
    <row r="6" spans="1:25" ht="15" customHeight="1" x14ac:dyDescent="0.25">
      <c r="A6" s="766" t="s">
        <v>28</v>
      </c>
      <c r="B6" s="754" t="s">
        <v>29</v>
      </c>
      <c r="C6" s="755"/>
      <c r="D6" s="771" t="s">
        <v>2</v>
      </c>
      <c r="E6" s="754"/>
      <c r="F6" s="755"/>
      <c r="G6" s="754" t="s">
        <v>3</v>
      </c>
      <c r="H6" s="754"/>
      <c r="I6" s="755"/>
      <c r="J6" s="773"/>
      <c r="K6" s="774"/>
      <c r="L6" s="775"/>
      <c r="M6" s="771"/>
      <c r="N6" s="754"/>
      <c r="O6" s="754"/>
      <c r="P6" s="771"/>
      <c r="Q6" s="754"/>
      <c r="R6" s="755"/>
      <c r="S6" s="123"/>
      <c r="T6" s="124"/>
    </row>
    <row r="7" spans="1:25" ht="15" customHeight="1" x14ac:dyDescent="0.25">
      <c r="A7" s="767"/>
      <c r="B7" s="758"/>
      <c r="C7" s="759"/>
      <c r="D7" s="757"/>
      <c r="E7" s="758"/>
      <c r="F7" s="759"/>
      <c r="G7" s="758"/>
      <c r="H7" s="758"/>
      <c r="I7" s="759"/>
      <c r="J7" s="757"/>
      <c r="K7" s="758"/>
      <c r="L7" s="759"/>
      <c r="M7" s="757"/>
      <c r="N7" s="758"/>
      <c r="O7" s="758"/>
      <c r="P7" s="757"/>
      <c r="Q7" s="758"/>
      <c r="R7" s="759"/>
      <c r="S7" s="125"/>
      <c r="T7" s="126"/>
    </row>
    <row r="8" spans="1:25" x14ac:dyDescent="0.25">
      <c r="A8" s="767"/>
      <c r="B8" s="758"/>
      <c r="C8" s="759"/>
      <c r="D8" s="757"/>
      <c r="E8" s="758"/>
      <c r="F8" s="759"/>
      <c r="G8" s="758"/>
      <c r="H8" s="758"/>
      <c r="I8" s="759"/>
      <c r="J8" s="757"/>
      <c r="K8" s="758"/>
      <c r="L8" s="759"/>
      <c r="M8" s="757"/>
      <c r="N8" s="758"/>
      <c r="O8" s="758"/>
      <c r="P8" s="757"/>
      <c r="Q8" s="758"/>
      <c r="R8" s="759"/>
      <c r="S8" s="125"/>
      <c r="T8" s="126"/>
    </row>
    <row r="9" spans="1:25" ht="15" customHeight="1" x14ac:dyDescent="0.25">
      <c r="A9" s="767"/>
      <c r="B9" s="758"/>
      <c r="C9" s="759"/>
      <c r="D9" s="757"/>
      <c r="E9" s="758"/>
      <c r="F9" s="759"/>
      <c r="G9" s="758"/>
      <c r="H9" s="758"/>
      <c r="I9" s="759"/>
      <c r="J9" s="757" t="s">
        <v>4</v>
      </c>
      <c r="K9" s="758"/>
      <c r="L9" s="758"/>
      <c r="M9" s="757" t="s">
        <v>5</v>
      </c>
      <c r="N9" s="758"/>
      <c r="O9" s="759"/>
      <c r="P9" s="757" t="s">
        <v>5</v>
      </c>
      <c r="Q9" s="758"/>
      <c r="R9" s="759"/>
      <c r="S9" s="125"/>
      <c r="T9" s="126"/>
    </row>
    <row r="10" spans="1:25" x14ac:dyDescent="0.25">
      <c r="A10" s="767"/>
      <c r="B10" s="758"/>
      <c r="C10" s="759"/>
      <c r="D10" s="757"/>
      <c r="E10" s="758"/>
      <c r="F10" s="759"/>
      <c r="G10" s="758"/>
      <c r="H10" s="758"/>
      <c r="I10" s="759"/>
      <c r="J10" s="760"/>
      <c r="K10" s="761"/>
      <c r="L10" s="762"/>
      <c r="M10" s="763" t="s">
        <v>129</v>
      </c>
      <c r="N10" s="764"/>
      <c r="O10" s="765"/>
      <c r="P10" s="763" t="s">
        <v>95</v>
      </c>
      <c r="Q10" s="764"/>
      <c r="R10" s="765"/>
      <c r="S10" s="125"/>
      <c r="T10" s="126"/>
    </row>
    <row r="11" spans="1:25" ht="15.75" thickBot="1" x14ac:dyDescent="0.3">
      <c r="A11" s="768"/>
      <c r="B11" s="769"/>
      <c r="C11" s="770"/>
      <c r="D11" s="772"/>
      <c r="E11" s="769"/>
      <c r="F11" s="770"/>
      <c r="G11" s="769"/>
      <c r="H11" s="769"/>
      <c r="I11" s="770"/>
      <c r="J11" s="751"/>
      <c r="K11" s="752"/>
      <c r="L11" s="753"/>
      <c r="M11" s="751"/>
      <c r="N11" s="752"/>
      <c r="O11" s="752"/>
      <c r="P11" s="127"/>
      <c r="Q11" s="128"/>
      <c r="R11" s="129"/>
      <c r="S11" s="130"/>
      <c r="T11" s="328"/>
      <c r="U11" s="27"/>
      <c r="V11" s="27"/>
    </row>
    <row r="12" spans="1:25" ht="72" customHeight="1" thickBot="1" x14ac:dyDescent="0.3">
      <c r="A12" s="329"/>
      <c r="B12" s="754" t="s">
        <v>30</v>
      </c>
      <c r="C12" s="755"/>
      <c r="D12" s="133" t="s">
        <v>37</v>
      </c>
      <c r="E12" s="749" t="s">
        <v>9</v>
      </c>
      <c r="F12" s="747" t="s">
        <v>39</v>
      </c>
      <c r="G12" s="133" t="s">
        <v>38</v>
      </c>
      <c r="H12" s="749" t="s">
        <v>9</v>
      </c>
      <c r="I12" s="747" t="s">
        <v>39</v>
      </c>
      <c r="J12" s="133" t="s">
        <v>38</v>
      </c>
      <c r="K12" s="749" t="s">
        <v>11</v>
      </c>
      <c r="L12" s="747" t="s">
        <v>39</v>
      </c>
      <c r="M12" s="133" t="s">
        <v>38</v>
      </c>
      <c r="N12" s="749" t="s">
        <v>9</v>
      </c>
      <c r="O12" s="747" t="s">
        <v>39</v>
      </c>
      <c r="P12" s="133" t="s">
        <v>38</v>
      </c>
      <c r="Q12" s="749" t="s">
        <v>9</v>
      </c>
      <c r="R12" s="747" t="s">
        <v>39</v>
      </c>
      <c r="S12" s="134" t="s">
        <v>17</v>
      </c>
      <c r="T12" s="330" t="s">
        <v>18</v>
      </c>
      <c r="U12" s="27"/>
      <c r="V12" s="27"/>
    </row>
    <row r="13" spans="1:25" ht="15.75" hidden="1" customHeight="1" thickBot="1" x14ac:dyDescent="0.3">
      <c r="A13" s="329"/>
      <c r="B13" s="136"/>
      <c r="C13" s="136"/>
      <c r="D13" s="137" t="s">
        <v>8</v>
      </c>
      <c r="E13" s="756"/>
      <c r="F13" s="748"/>
      <c r="G13" s="138" t="s">
        <v>8</v>
      </c>
      <c r="H13" s="750"/>
      <c r="I13" s="748"/>
      <c r="J13" s="138" t="s">
        <v>8</v>
      </c>
      <c r="K13" s="750"/>
      <c r="L13" s="748"/>
      <c r="M13" s="138" t="s">
        <v>8</v>
      </c>
      <c r="N13" s="750"/>
      <c r="O13" s="748"/>
      <c r="P13" s="138" t="s">
        <v>8</v>
      </c>
      <c r="Q13" s="750"/>
      <c r="R13" s="748"/>
      <c r="S13" s="134"/>
      <c r="T13" s="134"/>
      <c r="U13" s="27"/>
      <c r="V13" s="27"/>
    </row>
    <row r="14" spans="1:25" ht="15.75" thickBot="1" x14ac:dyDescent="0.3">
      <c r="A14" s="63">
        <v>1</v>
      </c>
      <c r="B14" s="734">
        <v>2</v>
      </c>
      <c r="C14" s="735"/>
      <c r="D14" s="327">
        <v>3</v>
      </c>
      <c r="E14" s="324">
        <v>4</v>
      </c>
      <c r="F14" s="326">
        <v>5</v>
      </c>
      <c r="G14" s="325">
        <v>6</v>
      </c>
      <c r="H14" s="326">
        <v>7</v>
      </c>
      <c r="I14" s="326">
        <v>8</v>
      </c>
      <c r="J14" s="326">
        <v>9</v>
      </c>
      <c r="K14" s="326">
        <v>10</v>
      </c>
      <c r="L14" s="326">
        <v>11</v>
      </c>
      <c r="M14" s="326">
        <v>12</v>
      </c>
      <c r="N14" s="326">
        <v>13</v>
      </c>
      <c r="O14" s="326">
        <v>14</v>
      </c>
      <c r="P14" s="326">
        <v>15</v>
      </c>
      <c r="Q14" s="326">
        <v>16</v>
      </c>
      <c r="R14" s="326">
        <v>17</v>
      </c>
      <c r="S14" s="327">
        <v>18</v>
      </c>
      <c r="T14" s="327">
        <v>19</v>
      </c>
      <c r="U14" s="27"/>
      <c r="V14" s="27"/>
    </row>
    <row r="15" spans="1:25" ht="15" customHeight="1" x14ac:dyDescent="0.25">
      <c r="A15" s="89" t="s">
        <v>31</v>
      </c>
      <c r="B15" s="745" t="s">
        <v>32</v>
      </c>
      <c r="C15" s="746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152"/>
      <c r="V15" s="152"/>
      <c r="W15" s="46"/>
    </row>
    <row r="16" spans="1:25" ht="35.25" customHeight="1" x14ac:dyDescent="0.25">
      <c r="A16" s="90"/>
      <c r="B16" s="726" t="s">
        <v>73</v>
      </c>
      <c r="C16" s="727"/>
      <c r="D16" s="92">
        <v>10685966.460000001</v>
      </c>
      <c r="E16" s="92">
        <v>8614212.6300000008</v>
      </c>
      <c r="F16" s="92">
        <f>D16-E16</f>
        <v>2071753.83</v>
      </c>
      <c r="G16" s="91"/>
      <c r="H16" s="91"/>
      <c r="I16" s="91"/>
      <c r="J16" s="91"/>
      <c r="K16" s="91"/>
      <c r="L16" s="91"/>
      <c r="M16" s="92">
        <v>137583.51999999999</v>
      </c>
      <c r="N16" s="92">
        <v>111336.94</v>
      </c>
      <c r="O16" s="91">
        <f>M16-N16</f>
        <v>26246.579999999987</v>
      </c>
      <c r="P16" s="92">
        <v>450000</v>
      </c>
      <c r="Q16" s="92">
        <v>450000</v>
      </c>
      <c r="R16" s="91">
        <f>P16-Q16</f>
        <v>0</v>
      </c>
      <c r="S16" s="91">
        <f>F16+I16+L16+O16+R16</f>
        <v>2098000.41</v>
      </c>
      <c r="T16" s="91"/>
      <c r="U16" s="215">
        <f>D16+G16+J16+M16+P16</f>
        <v>11273549.98</v>
      </c>
      <c r="V16" s="215">
        <f>E16+H16+K16+N16+Q16</f>
        <v>9175549.5700000003</v>
      </c>
      <c r="W16" s="46"/>
      <c r="Y16" s="218">
        <f>M16+P16</f>
        <v>587583.52</v>
      </c>
    </row>
    <row r="17" spans="1:25" ht="36" customHeight="1" thickBot="1" x14ac:dyDescent="0.3">
      <c r="A17" s="53"/>
      <c r="B17" s="730" t="s">
        <v>74</v>
      </c>
      <c r="C17" s="731"/>
      <c r="D17" s="75">
        <v>12790829.5</v>
      </c>
      <c r="E17" s="75">
        <v>12790829.5</v>
      </c>
      <c r="F17" s="75">
        <f>D17-E17</f>
        <v>0</v>
      </c>
      <c r="G17" s="75"/>
      <c r="H17" s="75"/>
      <c r="I17" s="75">
        <f>G17-H17</f>
        <v>0</v>
      </c>
      <c r="J17" s="75"/>
      <c r="K17" s="75"/>
      <c r="L17" s="75"/>
      <c r="M17" s="75"/>
      <c r="N17" s="75"/>
      <c r="O17" s="75"/>
      <c r="P17" s="75"/>
      <c r="Q17" s="75"/>
      <c r="R17" s="75">
        <f t="shared" ref="R17:R70" si="0">P17-Q17</f>
        <v>0</v>
      </c>
      <c r="S17" s="75">
        <f t="shared" ref="S17:S41" si="1">F17+I17+L17+O17+R17</f>
        <v>0</v>
      </c>
      <c r="T17" s="75"/>
      <c r="U17" s="152">
        <f t="shared" ref="U17:V48" si="2">D17+G17+J17+M17+P17</f>
        <v>12790829.5</v>
      </c>
      <c r="V17" s="152">
        <f t="shared" si="2"/>
        <v>12790829.5</v>
      </c>
      <c r="W17" s="201" t="s">
        <v>79</v>
      </c>
      <c r="Y17" s="26" t="s">
        <v>80</v>
      </c>
    </row>
    <row r="18" spans="1:25" ht="15" customHeight="1" thickBot="1" x14ac:dyDescent="0.3">
      <c r="A18" s="93"/>
      <c r="B18" s="94" t="s">
        <v>23</v>
      </c>
      <c r="C18" s="61"/>
      <c r="D18" s="71">
        <f>D16+D17</f>
        <v>23476795.960000001</v>
      </c>
      <c r="E18" s="71">
        <f>E16+E17</f>
        <v>21405042.130000003</v>
      </c>
      <c r="F18" s="77">
        <f>D18-E18</f>
        <v>2071753.8299999982</v>
      </c>
      <c r="G18" s="73">
        <f t="shared" ref="G18:R18" si="3">G17+G15</f>
        <v>0</v>
      </c>
      <c r="H18" s="73">
        <f t="shared" si="3"/>
        <v>0</v>
      </c>
      <c r="I18" s="72">
        <f t="shared" si="3"/>
        <v>0</v>
      </c>
      <c r="J18" s="73">
        <f t="shared" si="3"/>
        <v>0</v>
      </c>
      <c r="K18" s="73">
        <f t="shared" si="3"/>
        <v>0</v>
      </c>
      <c r="L18" s="72">
        <f t="shared" si="3"/>
        <v>0</v>
      </c>
      <c r="M18" s="73">
        <f>M16</f>
        <v>137583.51999999999</v>
      </c>
      <c r="N18" s="73">
        <f>N16</f>
        <v>111336.94</v>
      </c>
      <c r="O18" s="72">
        <f>O16</f>
        <v>26246.579999999987</v>
      </c>
      <c r="P18" s="73">
        <f>P16</f>
        <v>450000</v>
      </c>
      <c r="Q18" s="73">
        <f>Q16</f>
        <v>450000</v>
      </c>
      <c r="R18" s="72">
        <f t="shared" si="3"/>
        <v>0</v>
      </c>
      <c r="S18" s="104">
        <f>S17+S16</f>
        <v>2098000.41</v>
      </c>
      <c r="T18" s="56">
        <v>8.7999999999999995E-2</v>
      </c>
      <c r="U18" s="200">
        <f t="shared" si="2"/>
        <v>24064379.48</v>
      </c>
      <c r="V18" s="200">
        <f t="shared" si="2"/>
        <v>21966379.070000004</v>
      </c>
      <c r="W18" s="46">
        <f>S18/(D18+G18+J18+P18+M18)</f>
        <v>8.7182817730399265E-2</v>
      </c>
      <c r="X18" s="46"/>
      <c r="Y18" s="46">
        <f>S18/(D18+G18++P18+J18)</f>
        <v>8.768413512228572E-2</v>
      </c>
    </row>
    <row r="19" spans="1:25" x14ac:dyDescent="0.25">
      <c r="A19" s="33" t="s">
        <v>33</v>
      </c>
      <c r="B19" s="745" t="s">
        <v>34</v>
      </c>
      <c r="C19" s="746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152">
        <f t="shared" si="2"/>
        <v>0</v>
      </c>
      <c r="V19" s="152">
        <f t="shared" si="2"/>
        <v>0</v>
      </c>
      <c r="W19" s="46"/>
      <c r="X19" s="46"/>
      <c r="Y19" s="46"/>
    </row>
    <row r="20" spans="1:25" ht="36.75" customHeight="1" x14ac:dyDescent="0.25">
      <c r="A20" s="33"/>
      <c r="B20" s="726" t="s">
        <v>73</v>
      </c>
      <c r="C20" s="727"/>
      <c r="D20" s="92">
        <v>16422818.74</v>
      </c>
      <c r="E20" s="92">
        <v>15461306.939999999</v>
      </c>
      <c r="F20" s="92">
        <f t="shared" ref="F20:F41" si="4">D20-E20</f>
        <v>961511.80000000075</v>
      </c>
      <c r="G20" s="92">
        <v>198909.6</v>
      </c>
      <c r="H20" s="92">
        <v>113000</v>
      </c>
      <c r="I20" s="92">
        <f t="shared" ref="I20:I70" si="5">G20-H20</f>
        <v>85909.6</v>
      </c>
      <c r="J20" s="92">
        <v>525000</v>
      </c>
      <c r="K20" s="92">
        <v>510000</v>
      </c>
      <c r="L20" s="92">
        <f>J20-K20</f>
        <v>15000</v>
      </c>
      <c r="M20" s="92">
        <v>7214.2</v>
      </c>
      <c r="N20" s="92">
        <v>7214.2</v>
      </c>
      <c r="O20" s="92">
        <f>M20-N20</f>
        <v>0</v>
      </c>
      <c r="P20" s="92">
        <v>2283836.7999999998</v>
      </c>
      <c r="Q20" s="92">
        <v>2283836.7999999998</v>
      </c>
      <c r="R20" s="92">
        <f t="shared" ref="R20" si="6">P20-Q20</f>
        <v>0</v>
      </c>
      <c r="S20" s="92">
        <f t="shared" ref="S20" si="7">F20+I20+L20+O20+R20</f>
        <v>1062421.4000000008</v>
      </c>
      <c r="T20" s="92"/>
      <c r="U20" s="152">
        <f t="shared" si="2"/>
        <v>19437779.34</v>
      </c>
      <c r="V20" s="152">
        <f t="shared" si="2"/>
        <v>18375357.939999998</v>
      </c>
      <c r="W20" s="46"/>
      <c r="X20" s="46"/>
      <c r="Y20" s="80"/>
    </row>
    <row r="21" spans="1:25" ht="36" customHeight="1" thickBot="1" x14ac:dyDescent="0.3">
      <c r="A21" s="33"/>
      <c r="B21" s="730" t="s">
        <v>74</v>
      </c>
      <c r="C21" s="731"/>
      <c r="D21" s="75">
        <v>111364037.03</v>
      </c>
      <c r="E21" s="75">
        <v>111360708.43000001</v>
      </c>
      <c r="F21" s="75">
        <f t="shared" si="4"/>
        <v>3328.5999999940395</v>
      </c>
      <c r="G21" s="75">
        <v>218750</v>
      </c>
      <c r="H21" s="75">
        <v>218750</v>
      </c>
      <c r="I21" s="75">
        <f t="shared" si="5"/>
        <v>0</v>
      </c>
      <c r="J21" s="75"/>
      <c r="K21" s="75"/>
      <c r="L21" s="75"/>
      <c r="M21" s="75"/>
      <c r="N21" s="75"/>
      <c r="O21" s="75"/>
      <c r="P21" s="75"/>
      <c r="Q21" s="75"/>
      <c r="R21" s="75">
        <f t="shared" si="0"/>
        <v>0</v>
      </c>
      <c r="S21" s="75">
        <f t="shared" si="1"/>
        <v>3328.5999999940395</v>
      </c>
      <c r="T21" s="75"/>
      <c r="U21" s="152">
        <f t="shared" si="2"/>
        <v>111582787.03</v>
      </c>
      <c r="V21" s="152">
        <f t="shared" si="2"/>
        <v>111579458.43000001</v>
      </c>
      <c r="W21" s="46"/>
      <c r="X21" s="46"/>
      <c r="Y21" s="46"/>
    </row>
    <row r="22" spans="1:25" ht="15.75" customHeight="1" thickBot="1" x14ac:dyDescent="0.3">
      <c r="A22" s="66"/>
      <c r="B22" s="94" t="s">
        <v>23</v>
      </c>
      <c r="C22" s="61"/>
      <c r="D22" s="88">
        <f>D20+D21</f>
        <v>127786855.77</v>
      </c>
      <c r="E22" s="76">
        <f>E20+E21</f>
        <v>126822015.37</v>
      </c>
      <c r="F22" s="77">
        <f>D22-E22</f>
        <v>964840.39999999106</v>
      </c>
      <c r="G22" s="76">
        <f>G20+G21</f>
        <v>417659.6</v>
      </c>
      <c r="H22" s="76">
        <f>H20+H21</f>
        <v>331750</v>
      </c>
      <c r="I22" s="77">
        <f t="shared" ref="I22:Q22" si="8">I20</f>
        <v>85909.6</v>
      </c>
      <c r="J22" s="76">
        <f t="shared" si="8"/>
        <v>525000</v>
      </c>
      <c r="K22" s="76">
        <f t="shared" si="8"/>
        <v>510000</v>
      </c>
      <c r="L22" s="77">
        <f t="shared" si="8"/>
        <v>15000</v>
      </c>
      <c r="M22" s="76">
        <f t="shared" si="8"/>
        <v>7214.2</v>
      </c>
      <c r="N22" s="76">
        <f t="shared" si="8"/>
        <v>7214.2</v>
      </c>
      <c r="O22" s="77">
        <f t="shared" si="8"/>
        <v>0</v>
      </c>
      <c r="P22" s="76">
        <f t="shared" si="8"/>
        <v>2283836.7999999998</v>
      </c>
      <c r="Q22" s="76">
        <f t="shared" si="8"/>
        <v>2283836.7999999998</v>
      </c>
      <c r="R22" s="77">
        <f t="shared" ref="R22" si="9">R19+R21</f>
        <v>0</v>
      </c>
      <c r="S22" s="104">
        <f>S20+S21</f>
        <v>1065749.9999999949</v>
      </c>
      <c r="T22" s="60">
        <v>8.0000000000000002E-3</v>
      </c>
      <c r="U22" s="200">
        <f>D22+G22+J22+M22+P22</f>
        <v>131020566.36999999</v>
      </c>
      <c r="V22" s="200">
        <f>E22+H22+K22+N22+Q22</f>
        <v>129954816.37</v>
      </c>
      <c r="W22" s="46">
        <f>S22/(D22+G22+J22+M22+P22)</f>
        <v>8.1342191499182946E-3</v>
      </c>
      <c r="X22" s="46"/>
      <c r="Y22" s="46">
        <f>S22/(D22+G22+J22)</f>
        <v>8.2789871222366512E-3</v>
      </c>
    </row>
    <row r="23" spans="1:25" ht="16.5" customHeight="1" x14ac:dyDescent="0.25">
      <c r="A23" s="33" t="s">
        <v>36</v>
      </c>
      <c r="B23" s="745" t="s">
        <v>35</v>
      </c>
      <c r="C23" s="74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52">
        <f t="shared" si="2"/>
        <v>0</v>
      </c>
      <c r="V23" s="152">
        <f t="shared" si="2"/>
        <v>0</v>
      </c>
      <c r="W23" s="46"/>
      <c r="X23" s="46"/>
      <c r="Y23" s="46"/>
    </row>
    <row r="24" spans="1:25" ht="35.25" customHeight="1" thickBot="1" x14ac:dyDescent="0.3">
      <c r="A24" s="33"/>
      <c r="B24" s="726" t="s">
        <v>73</v>
      </c>
      <c r="C24" s="727"/>
      <c r="D24" s="92">
        <v>4544483</v>
      </c>
      <c r="E24" s="92">
        <v>4058960.63</v>
      </c>
      <c r="F24" s="75">
        <f>D24-E24</f>
        <v>485522.37000000011</v>
      </c>
      <c r="G24" s="92">
        <v>499998</v>
      </c>
      <c r="H24" s="92">
        <v>474998</v>
      </c>
      <c r="I24" s="92">
        <f>G24-H24</f>
        <v>25000</v>
      </c>
      <c r="J24" s="92">
        <v>500000</v>
      </c>
      <c r="K24" s="92">
        <v>298000</v>
      </c>
      <c r="L24" s="92">
        <f>J24-K24</f>
        <v>202000</v>
      </c>
      <c r="M24" s="92"/>
      <c r="N24" s="92"/>
      <c r="O24" s="92"/>
      <c r="P24" s="92">
        <v>850000</v>
      </c>
      <c r="Q24" s="92">
        <v>850000</v>
      </c>
      <c r="R24" s="92">
        <f>P24-Q24</f>
        <v>0</v>
      </c>
      <c r="S24" s="75">
        <f t="shared" si="1"/>
        <v>712522.37000000011</v>
      </c>
      <c r="T24" s="92"/>
      <c r="U24" s="152">
        <f t="shared" si="2"/>
        <v>6394481</v>
      </c>
      <c r="V24" s="152">
        <f t="shared" si="2"/>
        <v>5681958.6299999999</v>
      </c>
      <c r="W24" s="46"/>
      <c r="X24" s="46"/>
      <c r="Y24" s="46"/>
    </row>
    <row r="25" spans="1:25" ht="34.5" customHeight="1" thickBot="1" x14ac:dyDescent="0.3">
      <c r="A25" s="33"/>
      <c r="B25" s="730" t="s">
        <v>74</v>
      </c>
      <c r="C25" s="731"/>
      <c r="D25" s="75">
        <v>3582000</v>
      </c>
      <c r="E25" s="75">
        <v>3579812.5</v>
      </c>
      <c r="F25" s="75">
        <f t="shared" si="4"/>
        <v>2187.5</v>
      </c>
      <c r="G25" s="75">
        <v>350000</v>
      </c>
      <c r="H25" s="75">
        <v>350000</v>
      </c>
      <c r="I25" s="75">
        <f t="shared" si="5"/>
        <v>0</v>
      </c>
      <c r="J25" s="75"/>
      <c r="K25" s="75"/>
      <c r="L25" s="75"/>
      <c r="M25" s="75"/>
      <c r="N25" s="75"/>
      <c r="O25" s="75"/>
      <c r="P25" s="75"/>
      <c r="Q25" s="75"/>
      <c r="R25" s="75">
        <f t="shared" si="0"/>
        <v>0</v>
      </c>
      <c r="S25" s="75">
        <f t="shared" si="1"/>
        <v>2187.5</v>
      </c>
      <c r="T25" s="75"/>
      <c r="U25" s="152">
        <f t="shared" si="2"/>
        <v>3932000</v>
      </c>
      <c r="V25" s="152">
        <f t="shared" si="2"/>
        <v>3929812.5</v>
      </c>
      <c r="W25" s="46"/>
      <c r="X25" s="46"/>
      <c r="Y25" s="46"/>
    </row>
    <row r="26" spans="1:25" ht="15.75" thickBot="1" x14ac:dyDescent="0.3">
      <c r="A26" s="66"/>
      <c r="B26" s="64" t="s">
        <v>23</v>
      </c>
      <c r="C26" s="59"/>
      <c r="D26" s="76">
        <f>D24+D25</f>
        <v>8126483</v>
      </c>
      <c r="E26" s="76">
        <f>E24+E25</f>
        <v>7638773.1299999999</v>
      </c>
      <c r="F26" s="77">
        <f>D26-E26</f>
        <v>487709.87000000011</v>
      </c>
      <c r="G26" s="76">
        <f>SUM(G24:G25)</f>
        <v>849998</v>
      </c>
      <c r="H26" s="76">
        <f>SUM(H24:H25)</f>
        <v>824998</v>
      </c>
      <c r="I26" s="77">
        <f>I24+I25</f>
        <v>25000</v>
      </c>
      <c r="J26" s="76">
        <f>J24+J25</f>
        <v>500000</v>
      </c>
      <c r="K26" s="76">
        <f t="shared" ref="K26:L26" si="10">K24+K25</f>
        <v>298000</v>
      </c>
      <c r="L26" s="77">
        <f t="shared" si="10"/>
        <v>202000</v>
      </c>
      <c r="M26" s="76">
        <f t="shared" ref="M26:O26" si="11">M23+M25</f>
        <v>0</v>
      </c>
      <c r="N26" s="76">
        <f t="shared" si="11"/>
        <v>0</v>
      </c>
      <c r="O26" s="77">
        <f t="shared" si="11"/>
        <v>0</v>
      </c>
      <c r="P26" s="76">
        <f>P24</f>
        <v>850000</v>
      </c>
      <c r="Q26" s="76">
        <f>Q24</f>
        <v>850000</v>
      </c>
      <c r="R26" s="77">
        <f>R24</f>
        <v>0</v>
      </c>
      <c r="S26" s="104">
        <f>S24+S25</f>
        <v>714709.87000000011</v>
      </c>
      <c r="T26" s="60">
        <v>7.4999999999999997E-2</v>
      </c>
      <c r="U26" s="200">
        <f t="shared" si="2"/>
        <v>10326481</v>
      </c>
      <c r="V26" s="200">
        <f t="shared" si="2"/>
        <v>9611771.129999999</v>
      </c>
      <c r="W26" s="46">
        <f>S26/(D26+G26+J26+M26+P26)</f>
        <v>6.9211367357379552E-2</v>
      </c>
      <c r="X26" s="46"/>
      <c r="Y26" s="46">
        <f>S26/(D26+G26+J26)</f>
        <v>7.5419332344991791E-2</v>
      </c>
    </row>
    <row r="27" spans="1:25" x14ac:dyDescent="0.25">
      <c r="A27" s="33" t="s">
        <v>42</v>
      </c>
      <c r="B27" s="745" t="s">
        <v>41</v>
      </c>
      <c r="C27" s="746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52">
        <f t="shared" si="2"/>
        <v>0</v>
      </c>
      <c r="V27" s="152">
        <f t="shared" si="2"/>
        <v>0</v>
      </c>
      <c r="W27" s="46"/>
      <c r="X27" s="46"/>
      <c r="Y27" s="46"/>
    </row>
    <row r="28" spans="1:25" ht="34.5" customHeight="1" x14ac:dyDescent="0.25">
      <c r="A28" s="33"/>
      <c r="B28" s="726" t="s">
        <v>73</v>
      </c>
      <c r="C28" s="727"/>
      <c r="D28" s="92"/>
      <c r="E28" s="92"/>
      <c r="F28" s="92">
        <f t="shared" si="4"/>
        <v>0</v>
      </c>
      <c r="G28" s="92"/>
      <c r="H28" s="92"/>
      <c r="I28" s="92">
        <f>G28-H28</f>
        <v>0</v>
      </c>
      <c r="J28" s="92">
        <v>2683200</v>
      </c>
      <c r="K28" s="92">
        <v>2683200</v>
      </c>
      <c r="L28" s="92">
        <f>J28-K28</f>
        <v>0</v>
      </c>
      <c r="M28" s="92"/>
      <c r="N28" s="92"/>
      <c r="O28" s="92"/>
      <c r="P28" s="92">
        <v>4130620.9</v>
      </c>
      <c r="Q28" s="92">
        <v>4130620.9</v>
      </c>
      <c r="R28" s="92">
        <f t="shared" si="0"/>
        <v>0</v>
      </c>
      <c r="S28" s="92">
        <f t="shared" si="1"/>
        <v>0</v>
      </c>
      <c r="T28" s="92"/>
      <c r="U28" s="152">
        <f>D28+G28+J28+M28+P28</f>
        <v>6813820.9000000004</v>
      </c>
      <c r="V28" s="152">
        <f>E28+H28+K28+N28+Q28</f>
        <v>6813820.9000000004</v>
      </c>
      <c r="W28" s="46"/>
      <c r="X28" s="46"/>
      <c r="Y28" s="46"/>
    </row>
    <row r="29" spans="1:25" ht="33.75" customHeight="1" thickBot="1" x14ac:dyDescent="0.3">
      <c r="A29" s="33"/>
      <c r="B29" s="730" t="s">
        <v>74</v>
      </c>
      <c r="C29" s="731"/>
      <c r="D29" s="92">
        <v>44576206.710000001</v>
      </c>
      <c r="E29" s="92">
        <v>43161330.609999999</v>
      </c>
      <c r="F29" s="92">
        <f t="shared" si="4"/>
        <v>1414876.1000000015</v>
      </c>
      <c r="G29" s="92"/>
      <c r="H29" s="92"/>
      <c r="I29" s="75">
        <f>G29-H29</f>
        <v>0</v>
      </c>
      <c r="J29" s="75"/>
      <c r="K29" s="75"/>
      <c r="L29" s="75"/>
      <c r="M29" s="92"/>
      <c r="N29" s="92"/>
      <c r="O29" s="92">
        <f>M29-N29</f>
        <v>0</v>
      </c>
      <c r="P29" s="75"/>
      <c r="Q29" s="75"/>
      <c r="R29" s="75">
        <f t="shared" si="0"/>
        <v>0</v>
      </c>
      <c r="S29" s="75">
        <f t="shared" si="1"/>
        <v>1414876.1000000015</v>
      </c>
      <c r="T29" s="75"/>
      <c r="U29" s="152">
        <f>D29+G29+J29+M29+P29</f>
        <v>44576206.710000001</v>
      </c>
      <c r="V29" s="152">
        <f>E29+H29+K29+N29+Q29</f>
        <v>43161330.609999999</v>
      </c>
      <c r="W29" s="46"/>
      <c r="X29" s="46"/>
      <c r="Y29" s="46"/>
    </row>
    <row r="30" spans="1:25" ht="15.75" thickBot="1" x14ac:dyDescent="0.3">
      <c r="A30" s="66"/>
      <c r="B30" s="95" t="s">
        <v>23</v>
      </c>
      <c r="C30" s="59"/>
      <c r="D30" s="76">
        <f>SUM(D27:D29)</f>
        <v>44576206.710000001</v>
      </c>
      <c r="E30" s="76">
        <f t="shared" ref="E30:S30" si="12">SUM(E27:E29)</f>
        <v>43161330.609999999</v>
      </c>
      <c r="F30" s="77">
        <f t="shared" si="4"/>
        <v>1414876.1000000015</v>
      </c>
      <c r="G30" s="76">
        <f>SUM(G27:G29)</f>
        <v>0</v>
      </c>
      <c r="H30" s="76">
        <f>SUM(H27:H29)</f>
        <v>0</v>
      </c>
      <c r="I30" s="77">
        <f t="shared" si="12"/>
        <v>0</v>
      </c>
      <c r="J30" s="76">
        <f t="shared" si="12"/>
        <v>2683200</v>
      </c>
      <c r="K30" s="76">
        <f t="shared" si="12"/>
        <v>2683200</v>
      </c>
      <c r="L30" s="77">
        <f t="shared" si="12"/>
        <v>0</v>
      </c>
      <c r="M30" s="76">
        <f t="shared" si="12"/>
        <v>0</v>
      </c>
      <c r="N30" s="76">
        <f t="shared" si="12"/>
        <v>0</v>
      </c>
      <c r="O30" s="77">
        <f t="shared" si="12"/>
        <v>0</v>
      </c>
      <c r="P30" s="76">
        <f t="shared" si="12"/>
        <v>4130620.9</v>
      </c>
      <c r="Q30" s="76">
        <f t="shared" si="12"/>
        <v>4130620.9</v>
      </c>
      <c r="R30" s="111">
        <f t="shared" si="12"/>
        <v>0</v>
      </c>
      <c r="S30" s="104">
        <f t="shared" si="12"/>
        <v>1414876.1000000015</v>
      </c>
      <c r="T30" s="96">
        <v>0.03</v>
      </c>
      <c r="U30" s="200">
        <f t="shared" si="2"/>
        <v>51390027.609999999</v>
      </c>
      <c r="V30" s="200">
        <f t="shared" si="2"/>
        <v>49975151.509999998</v>
      </c>
      <c r="W30" s="46">
        <f>S30/(D30+G30+J30+M30+P30)</f>
        <v>2.7532114026821038E-2</v>
      </c>
      <c r="X30" s="46"/>
      <c r="Y30" s="46">
        <f>S30/(D30+G30+J30)</f>
        <v>2.9938507452752606E-2</v>
      </c>
    </row>
    <row r="31" spans="1:25" x14ac:dyDescent="0.25">
      <c r="A31" s="33" t="s">
        <v>45</v>
      </c>
      <c r="B31" s="745" t="s">
        <v>43</v>
      </c>
      <c r="C31" s="746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109"/>
      <c r="S31" s="78"/>
      <c r="T31" s="110"/>
      <c r="U31" s="152">
        <f t="shared" si="2"/>
        <v>0</v>
      </c>
      <c r="V31" s="152">
        <f t="shared" si="2"/>
        <v>0</v>
      </c>
      <c r="W31" s="46"/>
      <c r="X31" s="46"/>
      <c r="Y31" s="46"/>
    </row>
    <row r="32" spans="1:25" ht="33" customHeight="1" x14ac:dyDescent="0.25">
      <c r="A32" s="33"/>
      <c r="B32" s="726" t="s">
        <v>73</v>
      </c>
      <c r="C32" s="727"/>
      <c r="D32" s="92">
        <v>475000</v>
      </c>
      <c r="E32" s="92">
        <v>451250</v>
      </c>
      <c r="F32" s="92">
        <f t="shared" ref="F32" si="13">D32-E32</f>
        <v>23750</v>
      </c>
      <c r="G32" s="92">
        <v>450001.15</v>
      </c>
      <c r="H32" s="92">
        <v>445000</v>
      </c>
      <c r="I32" s="92">
        <f t="shared" si="5"/>
        <v>5001.1500000000233</v>
      </c>
      <c r="J32" s="92">
        <v>1200000</v>
      </c>
      <c r="K32" s="92">
        <v>1100000</v>
      </c>
      <c r="L32" s="92">
        <f>J32-K32</f>
        <v>100000</v>
      </c>
      <c r="M32" s="92">
        <v>214152.9</v>
      </c>
      <c r="N32" s="92">
        <v>213459.94</v>
      </c>
      <c r="O32" s="92">
        <f>M32-N32</f>
        <v>692.95999999999185</v>
      </c>
      <c r="P32" s="92">
        <v>1233854.3999999999</v>
      </c>
      <c r="Q32" s="92">
        <v>1233854.3999999999</v>
      </c>
      <c r="R32" s="112">
        <f t="shared" ref="R32" si="14">P32-Q32</f>
        <v>0</v>
      </c>
      <c r="S32" s="92">
        <f>F32+I32+L32+O32+R32</f>
        <v>129444.11000000002</v>
      </c>
      <c r="T32" s="114"/>
      <c r="U32" s="215">
        <f t="shared" si="2"/>
        <v>3573008.4499999997</v>
      </c>
      <c r="V32" s="215">
        <f t="shared" si="2"/>
        <v>3443564.34</v>
      </c>
      <c r="W32" s="46"/>
      <c r="X32" s="46"/>
      <c r="Y32" s="218"/>
    </row>
    <row r="33" spans="1:25" ht="39" customHeight="1" thickBot="1" x14ac:dyDescent="0.3">
      <c r="A33" s="33"/>
      <c r="B33" s="730" t="s">
        <v>74</v>
      </c>
      <c r="C33" s="731"/>
      <c r="D33" s="75">
        <v>8583042.8000000007</v>
      </c>
      <c r="E33" s="75">
        <v>8583042.8000000007</v>
      </c>
      <c r="F33" s="75">
        <f t="shared" si="4"/>
        <v>0</v>
      </c>
      <c r="G33" s="75">
        <v>1150000</v>
      </c>
      <c r="H33" s="75">
        <v>1044000</v>
      </c>
      <c r="I33" s="75">
        <f t="shared" si="5"/>
        <v>106000</v>
      </c>
      <c r="J33" s="75"/>
      <c r="K33" s="75"/>
      <c r="L33" s="75"/>
      <c r="M33" s="75"/>
      <c r="N33" s="75"/>
      <c r="O33" s="75"/>
      <c r="P33" s="75"/>
      <c r="Q33" s="75"/>
      <c r="R33" s="113">
        <f t="shared" si="0"/>
        <v>0</v>
      </c>
      <c r="S33" s="75">
        <f>F33+I33+L33+O33+R33</f>
        <v>106000</v>
      </c>
      <c r="T33" s="115"/>
      <c r="U33" s="215">
        <f t="shared" si="2"/>
        <v>9733042.8000000007</v>
      </c>
      <c r="V33" s="215">
        <f t="shared" si="2"/>
        <v>9627042.8000000007</v>
      </c>
      <c r="W33" s="46"/>
      <c r="X33" s="46"/>
      <c r="Y33" s="46"/>
    </row>
    <row r="34" spans="1:25" ht="15.75" thickBot="1" x14ac:dyDescent="0.3">
      <c r="A34" s="93"/>
      <c r="B34" s="94" t="s">
        <v>23</v>
      </c>
      <c r="C34" s="61"/>
      <c r="D34" s="88">
        <f>SUM(D31:D33)</f>
        <v>9058042.8000000007</v>
      </c>
      <c r="E34" s="88">
        <f t="shared" ref="E34:F34" si="15">SUM(E31:E33)</f>
        <v>9034292.8000000007</v>
      </c>
      <c r="F34" s="77">
        <f t="shared" si="15"/>
        <v>23750</v>
      </c>
      <c r="G34" s="76">
        <f t="shared" ref="G34:R34" si="16">G32+G33</f>
        <v>1600001.15</v>
      </c>
      <c r="H34" s="76">
        <f t="shared" si="16"/>
        <v>1489000</v>
      </c>
      <c r="I34" s="77">
        <f t="shared" si="16"/>
        <v>111001.15000000002</v>
      </c>
      <c r="J34" s="76">
        <f t="shared" si="16"/>
        <v>1200000</v>
      </c>
      <c r="K34" s="76">
        <f t="shared" si="16"/>
        <v>1100000</v>
      </c>
      <c r="L34" s="77">
        <f t="shared" si="16"/>
        <v>100000</v>
      </c>
      <c r="M34" s="76">
        <f t="shared" si="16"/>
        <v>214152.9</v>
      </c>
      <c r="N34" s="76">
        <f t="shared" si="16"/>
        <v>213459.94</v>
      </c>
      <c r="O34" s="77">
        <f t="shared" si="16"/>
        <v>692.95999999999185</v>
      </c>
      <c r="P34" s="76">
        <f t="shared" si="16"/>
        <v>1233854.3999999999</v>
      </c>
      <c r="Q34" s="76">
        <f t="shared" si="16"/>
        <v>1233854.3999999999</v>
      </c>
      <c r="R34" s="76">
        <f t="shared" si="16"/>
        <v>0</v>
      </c>
      <c r="S34" s="104">
        <f>F34+I34+L34+O34+R34</f>
        <v>235444.11000000002</v>
      </c>
      <c r="T34" s="60">
        <v>0.02</v>
      </c>
      <c r="U34" s="200">
        <f t="shared" si="2"/>
        <v>13306051.250000002</v>
      </c>
      <c r="V34" s="200">
        <f t="shared" si="2"/>
        <v>13070607.140000001</v>
      </c>
      <c r="W34" s="46">
        <f>S34/(D34+G34+J34+M34+P34)</f>
        <v>1.7694513990392152E-2</v>
      </c>
      <c r="X34" s="46"/>
      <c r="Y34" s="46">
        <f>S34/(D34+G34+J34)</f>
        <v>1.985522325543413E-2</v>
      </c>
    </row>
    <row r="35" spans="1:25" x14ac:dyDescent="0.25">
      <c r="A35" s="33" t="s">
        <v>46</v>
      </c>
      <c r="B35" s="745" t="s">
        <v>44</v>
      </c>
      <c r="C35" s="746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52">
        <f t="shared" si="2"/>
        <v>0</v>
      </c>
      <c r="V35" s="152">
        <f t="shared" si="2"/>
        <v>0</v>
      </c>
      <c r="W35" s="46"/>
      <c r="X35" s="46"/>
      <c r="Y35" s="46"/>
    </row>
    <row r="36" spans="1:25" ht="33.75" customHeight="1" x14ac:dyDescent="0.25">
      <c r="A36" s="33"/>
      <c r="B36" s="726" t="s">
        <v>73</v>
      </c>
      <c r="C36" s="727"/>
      <c r="D36" s="92">
        <v>15742588</v>
      </c>
      <c r="E36" s="92">
        <v>14276621.32</v>
      </c>
      <c r="F36" s="92">
        <f t="shared" ref="F36" si="17">D36-E36</f>
        <v>1465966.6799999997</v>
      </c>
      <c r="G36" s="92"/>
      <c r="H36" s="92"/>
      <c r="I36" s="92">
        <f t="shared" ref="I36" si="18">G36-H36</f>
        <v>0</v>
      </c>
      <c r="J36" s="436"/>
      <c r="K36" s="92"/>
      <c r="L36" s="92"/>
      <c r="M36" s="92">
        <v>141709.5</v>
      </c>
      <c r="N36" s="92">
        <v>141709.5</v>
      </c>
      <c r="O36" s="92">
        <f>M36-N36</f>
        <v>0</v>
      </c>
      <c r="P36" s="92">
        <v>1100000</v>
      </c>
      <c r="Q36" s="92">
        <v>1100000</v>
      </c>
      <c r="R36" s="92">
        <f t="shared" ref="R36" si="19">P36-Q36</f>
        <v>0</v>
      </c>
      <c r="S36" s="92">
        <f t="shared" ref="S36" si="20">F36+I36+L36+O36+R36</f>
        <v>1465966.6799999997</v>
      </c>
      <c r="T36" s="92"/>
      <c r="U36" s="152">
        <f>D36+G36+J36+M36+P36</f>
        <v>16984297.5</v>
      </c>
      <c r="V36" s="152">
        <f t="shared" si="2"/>
        <v>15518330.82</v>
      </c>
      <c r="W36" s="46"/>
      <c r="X36" s="46"/>
      <c r="Y36" s="218"/>
    </row>
    <row r="37" spans="1:25" ht="36.75" customHeight="1" thickBot="1" x14ac:dyDescent="0.3">
      <c r="A37" s="33"/>
      <c r="B37" s="724" t="s">
        <v>74</v>
      </c>
      <c r="C37" s="725"/>
      <c r="D37" s="75">
        <v>7402960</v>
      </c>
      <c r="E37" s="75">
        <v>7402960</v>
      </c>
      <c r="F37" s="75">
        <f t="shared" si="4"/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>
        <f t="shared" si="0"/>
        <v>0</v>
      </c>
      <c r="S37" s="75">
        <f t="shared" si="1"/>
        <v>0</v>
      </c>
      <c r="T37" s="75"/>
      <c r="U37" s="215">
        <f t="shared" si="2"/>
        <v>7402960</v>
      </c>
      <c r="V37" s="215">
        <f t="shared" si="2"/>
        <v>7402960</v>
      </c>
      <c r="W37" s="46"/>
      <c r="X37" s="46"/>
      <c r="Y37" s="46"/>
    </row>
    <row r="38" spans="1:25" ht="13.5" customHeight="1" thickBot="1" x14ac:dyDescent="0.3">
      <c r="A38" s="66"/>
      <c r="B38" s="64" t="s">
        <v>23</v>
      </c>
      <c r="C38" s="94"/>
      <c r="D38" s="76">
        <f>SUM(D35:D37)</f>
        <v>23145548</v>
      </c>
      <c r="E38" s="76">
        <f t="shared" ref="E38:R38" si="21">SUM(E35:E37)</f>
        <v>21679581.32</v>
      </c>
      <c r="F38" s="77">
        <f>D38-E38</f>
        <v>1465966.6799999997</v>
      </c>
      <c r="G38" s="76">
        <f t="shared" si="21"/>
        <v>0</v>
      </c>
      <c r="H38" s="76">
        <f t="shared" si="21"/>
        <v>0</v>
      </c>
      <c r="I38" s="77">
        <f t="shared" si="21"/>
        <v>0</v>
      </c>
      <c r="J38" s="288">
        <f t="shared" si="21"/>
        <v>0</v>
      </c>
      <c r="K38" s="76">
        <f t="shared" si="21"/>
        <v>0</v>
      </c>
      <c r="L38" s="77">
        <f t="shared" si="21"/>
        <v>0</v>
      </c>
      <c r="M38" s="76">
        <f t="shared" si="21"/>
        <v>141709.5</v>
      </c>
      <c r="N38" s="76">
        <f t="shared" si="21"/>
        <v>141709.5</v>
      </c>
      <c r="O38" s="77">
        <f t="shared" si="21"/>
        <v>0</v>
      </c>
      <c r="P38" s="76">
        <f t="shared" si="21"/>
        <v>1100000</v>
      </c>
      <c r="Q38" s="76">
        <f t="shared" si="21"/>
        <v>1100000</v>
      </c>
      <c r="R38" s="77">
        <f t="shared" si="21"/>
        <v>0</v>
      </c>
      <c r="S38" s="104">
        <f>SUM(S35:S37)</f>
        <v>1465966.6799999997</v>
      </c>
      <c r="T38" s="60">
        <v>6.3E-2</v>
      </c>
      <c r="U38" s="200">
        <f>D38+G38+J38+M38+P38</f>
        <v>24387257.5</v>
      </c>
      <c r="V38" s="200">
        <f t="shared" si="2"/>
        <v>22921290.82</v>
      </c>
      <c r="W38" s="46">
        <f t="shared" ref="W38" si="22">S38/(D38+G38+J38+M38+P38)</f>
        <v>6.0111994142842823E-2</v>
      </c>
      <c r="X38" s="46"/>
      <c r="Y38" s="46">
        <f>S38/(D38+G38+J38)</f>
        <v>6.3336874979153648E-2</v>
      </c>
    </row>
    <row r="39" spans="1:25" x14ac:dyDescent="0.25">
      <c r="A39" s="33" t="s">
        <v>49</v>
      </c>
      <c r="B39" s="745" t="s">
        <v>47</v>
      </c>
      <c r="C39" s="746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52">
        <f t="shared" si="2"/>
        <v>0</v>
      </c>
      <c r="V39" s="152">
        <f t="shared" si="2"/>
        <v>0</v>
      </c>
      <c r="W39" s="46"/>
      <c r="X39" s="46"/>
      <c r="Y39" s="46"/>
    </row>
    <row r="40" spans="1:25" ht="33.75" customHeight="1" x14ac:dyDescent="0.25">
      <c r="A40" s="33"/>
      <c r="B40" s="726" t="s">
        <v>73</v>
      </c>
      <c r="C40" s="727"/>
      <c r="D40" s="92">
        <v>1947318.59</v>
      </c>
      <c r="E40" s="92">
        <v>1644942.05</v>
      </c>
      <c r="F40" s="92">
        <f t="shared" si="4"/>
        <v>302376.54000000004</v>
      </c>
      <c r="G40" s="92">
        <v>263361</v>
      </c>
      <c r="H40" s="92">
        <v>220000</v>
      </c>
      <c r="I40" s="92">
        <f>G40-H40</f>
        <v>43361</v>
      </c>
      <c r="J40" s="91"/>
      <c r="K40" s="91"/>
      <c r="L40" s="91"/>
      <c r="M40" s="91"/>
      <c r="N40" s="91"/>
      <c r="O40" s="91"/>
      <c r="P40" s="92">
        <v>1500000</v>
      </c>
      <c r="Q40" s="92">
        <v>1500000</v>
      </c>
      <c r="R40" s="91">
        <f t="shared" ref="R40" si="23">P40-Q40</f>
        <v>0</v>
      </c>
      <c r="S40" s="91">
        <f t="shared" ref="S40" si="24">F40+I40+L40+O40+R40</f>
        <v>345737.54000000004</v>
      </c>
      <c r="T40" s="91"/>
      <c r="U40" s="215">
        <f t="shared" si="2"/>
        <v>3710679.59</v>
      </c>
      <c r="V40" s="215">
        <f t="shared" si="2"/>
        <v>3364942.05</v>
      </c>
      <c r="W40" s="46"/>
      <c r="X40" s="46"/>
      <c r="Y40" s="46"/>
    </row>
    <row r="41" spans="1:25" ht="34.5" customHeight="1" thickBot="1" x14ac:dyDescent="0.3">
      <c r="A41" s="33"/>
      <c r="B41" s="724" t="s">
        <v>74</v>
      </c>
      <c r="C41" s="725"/>
      <c r="D41" s="75">
        <v>10664658.939999999</v>
      </c>
      <c r="E41" s="75">
        <v>10645847.67</v>
      </c>
      <c r="F41" s="75">
        <f t="shared" si="4"/>
        <v>18811.269999999553</v>
      </c>
      <c r="G41" s="75"/>
      <c r="H41" s="75"/>
      <c r="I41" s="92">
        <f>G41-H41</f>
        <v>0</v>
      </c>
      <c r="J41" s="75"/>
      <c r="K41" s="75"/>
      <c r="L41" s="75"/>
      <c r="M41" s="75"/>
      <c r="N41" s="75"/>
      <c r="O41" s="75"/>
      <c r="P41" s="75"/>
      <c r="Q41" s="75"/>
      <c r="R41" s="75">
        <f t="shared" si="0"/>
        <v>0</v>
      </c>
      <c r="S41" s="75">
        <f t="shared" si="1"/>
        <v>18811.269999999553</v>
      </c>
      <c r="T41" s="75"/>
      <c r="U41" s="215">
        <f t="shared" si="2"/>
        <v>10664658.939999999</v>
      </c>
      <c r="V41" s="215">
        <f t="shared" si="2"/>
        <v>10645847.67</v>
      </c>
      <c r="W41" s="46"/>
      <c r="X41" s="46"/>
      <c r="Y41" s="46"/>
    </row>
    <row r="42" spans="1:25" ht="15.75" thickBot="1" x14ac:dyDescent="0.3">
      <c r="A42" s="66"/>
      <c r="B42" s="94" t="s">
        <v>23</v>
      </c>
      <c r="C42" s="64"/>
      <c r="D42" s="76">
        <f>SUM(D39:D41)</f>
        <v>12611977.529999999</v>
      </c>
      <c r="E42" s="76">
        <f t="shared" ref="E42:S42" si="25">SUM(E39:E41)</f>
        <v>12290789.720000001</v>
      </c>
      <c r="F42" s="77">
        <f>D42-E42</f>
        <v>321187.80999999866</v>
      </c>
      <c r="G42" s="76">
        <f t="shared" si="25"/>
        <v>263361</v>
      </c>
      <c r="H42" s="76">
        <f t="shared" si="25"/>
        <v>220000</v>
      </c>
      <c r="I42" s="77">
        <f t="shared" si="25"/>
        <v>43361</v>
      </c>
      <c r="J42" s="76">
        <f t="shared" si="25"/>
        <v>0</v>
      </c>
      <c r="K42" s="76">
        <f t="shared" si="25"/>
        <v>0</v>
      </c>
      <c r="L42" s="77">
        <f t="shared" si="25"/>
        <v>0</v>
      </c>
      <c r="M42" s="76">
        <f t="shared" si="25"/>
        <v>0</v>
      </c>
      <c r="N42" s="76">
        <f t="shared" si="25"/>
        <v>0</v>
      </c>
      <c r="O42" s="77">
        <f t="shared" si="25"/>
        <v>0</v>
      </c>
      <c r="P42" s="76">
        <f t="shared" si="25"/>
        <v>1500000</v>
      </c>
      <c r="Q42" s="76">
        <f t="shared" si="25"/>
        <v>1500000</v>
      </c>
      <c r="R42" s="77">
        <f t="shared" si="25"/>
        <v>0</v>
      </c>
      <c r="S42" s="104">
        <f t="shared" si="25"/>
        <v>364548.80999999959</v>
      </c>
      <c r="T42" s="96">
        <v>2.8000000000000001E-2</v>
      </c>
      <c r="U42" s="200">
        <f t="shared" si="2"/>
        <v>14375338.529999999</v>
      </c>
      <c r="V42" s="200">
        <f t="shared" si="2"/>
        <v>14010789.720000001</v>
      </c>
      <c r="W42" s="46">
        <f t="shared" ref="W42:W66" si="26">S42/(D42+G42+J42+M42+P42)</f>
        <v>2.5359320007610257E-2</v>
      </c>
      <c r="X42" s="46"/>
      <c r="Y42" s="46">
        <f>S42/(D42+G42+J42)</f>
        <v>2.8313726210040056E-2</v>
      </c>
    </row>
    <row r="43" spans="1:25" ht="15.75" customHeight="1" x14ac:dyDescent="0.25">
      <c r="A43" s="33" t="s">
        <v>50</v>
      </c>
      <c r="B43" s="745" t="s">
        <v>48</v>
      </c>
      <c r="C43" s="74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152">
        <f t="shared" si="2"/>
        <v>0</v>
      </c>
      <c r="V43" s="152">
        <f t="shared" si="2"/>
        <v>0</v>
      </c>
      <c r="W43" s="46"/>
      <c r="X43" s="46"/>
      <c r="Y43" s="46"/>
    </row>
    <row r="44" spans="1:25" ht="34.5" customHeight="1" x14ac:dyDescent="0.25">
      <c r="A44" s="33"/>
      <c r="B44" s="726" t="s">
        <v>73</v>
      </c>
      <c r="C44" s="727"/>
      <c r="D44" s="92">
        <v>10623551.09</v>
      </c>
      <c r="E44" s="92">
        <v>10267167.439999999</v>
      </c>
      <c r="F44" s="92">
        <f t="shared" ref="F44:F45" si="27">D44-E44</f>
        <v>356383.65000000037</v>
      </c>
      <c r="G44" s="92"/>
      <c r="H44" s="92"/>
      <c r="I44" s="92">
        <f t="shared" ref="I44:I45" si="28">G44-H44</f>
        <v>0</v>
      </c>
      <c r="J44" s="92">
        <v>623333.32999999996</v>
      </c>
      <c r="K44" s="92">
        <v>623333</v>
      </c>
      <c r="L44" s="92">
        <f>J44-K44</f>
        <v>0.32999999995809048</v>
      </c>
      <c r="M44" s="92"/>
      <c r="N44" s="92"/>
      <c r="O44" s="92"/>
      <c r="P44" s="92">
        <v>5169038.8</v>
      </c>
      <c r="Q44" s="92">
        <v>5169038.8</v>
      </c>
      <c r="R44" s="92">
        <f t="shared" ref="R44:R45" si="29">P44-Q44</f>
        <v>0</v>
      </c>
      <c r="S44" s="92">
        <f t="shared" ref="S44:S45" si="30">F44+I44+L44+O44+R44</f>
        <v>356383.98000000033</v>
      </c>
      <c r="T44" s="92"/>
      <c r="U44" s="215">
        <f t="shared" si="2"/>
        <v>16415923.219999999</v>
      </c>
      <c r="V44" s="215">
        <f t="shared" si="2"/>
        <v>16059539.239999998</v>
      </c>
      <c r="W44" s="46"/>
      <c r="X44" s="46"/>
      <c r="Y44" s="46"/>
    </row>
    <row r="45" spans="1:25" ht="33.75" customHeight="1" thickBot="1" x14ac:dyDescent="0.3">
      <c r="A45" s="33"/>
      <c r="B45" s="724" t="s">
        <v>74</v>
      </c>
      <c r="C45" s="725"/>
      <c r="D45" s="75">
        <v>11929194.390000001</v>
      </c>
      <c r="E45" s="75">
        <v>11897466.789999999</v>
      </c>
      <c r="F45" s="75">
        <f t="shared" si="27"/>
        <v>31727.60000000149</v>
      </c>
      <c r="G45" s="75"/>
      <c r="H45" s="75"/>
      <c r="I45" s="75">
        <f t="shared" si="28"/>
        <v>0</v>
      </c>
      <c r="J45" s="75"/>
      <c r="K45" s="75"/>
      <c r="L45" s="75"/>
      <c r="M45" s="75"/>
      <c r="N45" s="75"/>
      <c r="O45" s="75"/>
      <c r="P45" s="75"/>
      <c r="Q45" s="75"/>
      <c r="R45" s="75">
        <f t="shared" si="29"/>
        <v>0</v>
      </c>
      <c r="S45" s="75">
        <f t="shared" si="30"/>
        <v>31727.60000000149</v>
      </c>
      <c r="T45" s="75"/>
      <c r="U45" s="215">
        <f t="shared" si="2"/>
        <v>11929194.390000001</v>
      </c>
      <c r="V45" s="215">
        <f t="shared" si="2"/>
        <v>11897466.789999999</v>
      </c>
      <c r="W45" s="46"/>
      <c r="X45" s="46"/>
      <c r="Y45" s="46"/>
    </row>
    <row r="46" spans="1:25" ht="15.75" thickBot="1" x14ac:dyDescent="0.3">
      <c r="A46" s="66"/>
      <c r="B46" s="94" t="s">
        <v>23</v>
      </c>
      <c r="C46" s="64"/>
      <c r="D46" s="76">
        <f>SUM(D43:D45)</f>
        <v>22552745.48</v>
      </c>
      <c r="E46" s="76">
        <f t="shared" ref="E46:S46" si="31">SUM(E43:E45)</f>
        <v>22164634.229999997</v>
      </c>
      <c r="F46" s="77">
        <f>D46-E46</f>
        <v>388111.25000000373</v>
      </c>
      <c r="G46" s="76">
        <f t="shared" si="31"/>
        <v>0</v>
      </c>
      <c r="H46" s="76">
        <f t="shared" si="31"/>
        <v>0</v>
      </c>
      <c r="I46" s="77">
        <f t="shared" si="31"/>
        <v>0</v>
      </c>
      <c r="J46" s="76">
        <f t="shared" si="31"/>
        <v>623333.32999999996</v>
      </c>
      <c r="K46" s="76">
        <f t="shared" si="31"/>
        <v>623333</v>
      </c>
      <c r="L46" s="77">
        <f t="shared" si="31"/>
        <v>0.32999999995809048</v>
      </c>
      <c r="M46" s="76">
        <f t="shared" si="31"/>
        <v>0</v>
      </c>
      <c r="N46" s="76">
        <f t="shared" si="31"/>
        <v>0</v>
      </c>
      <c r="O46" s="77">
        <f t="shared" si="31"/>
        <v>0</v>
      </c>
      <c r="P46" s="76">
        <f t="shared" si="31"/>
        <v>5169038.8</v>
      </c>
      <c r="Q46" s="76">
        <f t="shared" si="31"/>
        <v>5169038.8</v>
      </c>
      <c r="R46" s="77">
        <f t="shared" si="31"/>
        <v>0</v>
      </c>
      <c r="S46" s="104">
        <f t="shared" si="31"/>
        <v>388111.58000000182</v>
      </c>
      <c r="T46" s="96">
        <v>1.7000000000000001E-2</v>
      </c>
      <c r="U46" s="200">
        <f t="shared" si="2"/>
        <v>28345117.609999999</v>
      </c>
      <c r="V46" s="200">
        <f t="shared" si="2"/>
        <v>27957006.029999997</v>
      </c>
      <c r="W46" s="46">
        <f t="shared" si="26"/>
        <v>1.3692360897563474E-2</v>
      </c>
      <c r="X46" s="46"/>
      <c r="Y46" s="46">
        <f>S46/(D46+G46+J46)</f>
        <v>1.6746214197051301E-2</v>
      </c>
    </row>
    <row r="47" spans="1:25" x14ac:dyDescent="0.25">
      <c r="A47" s="33" t="s">
        <v>51</v>
      </c>
      <c r="B47" s="745" t="s">
        <v>52</v>
      </c>
      <c r="C47" s="74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152">
        <f t="shared" si="2"/>
        <v>0</v>
      </c>
      <c r="V47" s="152">
        <f t="shared" si="2"/>
        <v>0</v>
      </c>
      <c r="W47" s="46"/>
      <c r="X47" s="46"/>
      <c r="Y47" s="46"/>
    </row>
    <row r="48" spans="1:25" ht="36.75" customHeight="1" x14ac:dyDescent="0.25">
      <c r="A48" s="33"/>
      <c r="B48" s="726" t="s">
        <v>73</v>
      </c>
      <c r="C48" s="727"/>
      <c r="D48" s="92">
        <v>637307</v>
      </c>
      <c r="E48" s="92">
        <v>486879.76</v>
      </c>
      <c r="F48" s="92">
        <f t="shared" ref="F48:F49" si="32">D48-E48</f>
        <v>150427.24</v>
      </c>
      <c r="G48" s="92">
        <v>848731</v>
      </c>
      <c r="H48" s="92">
        <v>674450</v>
      </c>
      <c r="I48" s="92">
        <f t="shared" ref="I48:I49" si="33">G48-H48</f>
        <v>174281</v>
      </c>
      <c r="J48" s="92"/>
      <c r="K48" s="92"/>
      <c r="L48" s="92"/>
      <c r="M48" s="92">
        <v>92968.26</v>
      </c>
      <c r="N48" s="92">
        <v>92968.26</v>
      </c>
      <c r="O48" s="92">
        <f>M48-N48</f>
        <v>0</v>
      </c>
      <c r="P48" s="92">
        <f>370000+1218.12</f>
        <v>371218.12</v>
      </c>
      <c r="Q48" s="92">
        <f>370000+1218.12</f>
        <v>371218.12</v>
      </c>
      <c r="R48" s="92">
        <f t="shared" ref="R48:R49" si="34">P48-Q48</f>
        <v>0</v>
      </c>
      <c r="S48" s="92">
        <f t="shared" ref="S48:S49" si="35">F48+I48+L48+O48+R48</f>
        <v>324708.24</v>
      </c>
      <c r="T48" s="92"/>
      <c r="U48" s="216">
        <f t="shared" si="2"/>
        <v>1950224.38</v>
      </c>
      <c r="V48" s="216">
        <f t="shared" si="2"/>
        <v>1625516.1400000001</v>
      </c>
      <c r="W48" s="46"/>
      <c r="X48" s="46"/>
      <c r="Y48" s="46"/>
    </row>
    <row r="49" spans="1:26" ht="35.25" customHeight="1" thickBot="1" x14ac:dyDescent="0.3">
      <c r="A49" s="33"/>
      <c r="B49" s="724" t="s">
        <v>74</v>
      </c>
      <c r="C49" s="725"/>
      <c r="D49" s="75">
        <v>1895449.53</v>
      </c>
      <c r="E49" s="75">
        <v>1895449.53</v>
      </c>
      <c r="F49" s="92">
        <f t="shared" si="32"/>
        <v>0</v>
      </c>
      <c r="G49" s="75">
        <v>187500</v>
      </c>
      <c r="H49" s="75">
        <v>185000</v>
      </c>
      <c r="I49" s="92">
        <f t="shared" si="33"/>
        <v>2500</v>
      </c>
      <c r="J49" s="75"/>
      <c r="K49" s="75"/>
      <c r="L49" s="75"/>
      <c r="M49" s="75"/>
      <c r="N49" s="75"/>
      <c r="O49" s="75"/>
      <c r="P49" s="75"/>
      <c r="Q49" s="75"/>
      <c r="R49" s="75">
        <f t="shared" si="34"/>
        <v>0</v>
      </c>
      <c r="S49" s="75">
        <f t="shared" si="35"/>
        <v>2500</v>
      </c>
      <c r="T49" s="75"/>
      <c r="U49" s="216">
        <f t="shared" ref="U49:V70" si="36">D49+G49+J49+M49+P49</f>
        <v>2082949.53</v>
      </c>
      <c r="V49" s="216">
        <f t="shared" si="36"/>
        <v>2080449.53</v>
      </c>
      <c r="W49" s="46"/>
      <c r="X49" s="46"/>
      <c r="Y49" s="46"/>
      <c r="Z49" s="218"/>
    </row>
    <row r="50" spans="1:26" ht="15.75" thickBot="1" x14ac:dyDescent="0.3">
      <c r="A50" s="66"/>
      <c r="B50" s="94" t="s">
        <v>23</v>
      </c>
      <c r="C50" s="64"/>
      <c r="D50" s="76">
        <f>SUM(D47:D49)</f>
        <v>2532756.5300000003</v>
      </c>
      <c r="E50" s="76">
        <f t="shared" ref="E50:S50" si="37">SUM(E47:E49)</f>
        <v>2382329.29</v>
      </c>
      <c r="F50" s="77">
        <f t="shared" si="37"/>
        <v>150427.24</v>
      </c>
      <c r="G50" s="76">
        <f t="shared" si="37"/>
        <v>1036231</v>
      </c>
      <c r="H50" s="76">
        <f t="shared" si="37"/>
        <v>859450</v>
      </c>
      <c r="I50" s="77">
        <f t="shared" si="37"/>
        <v>176781</v>
      </c>
      <c r="J50" s="76">
        <f t="shared" si="37"/>
        <v>0</v>
      </c>
      <c r="K50" s="76">
        <f t="shared" si="37"/>
        <v>0</v>
      </c>
      <c r="L50" s="77">
        <f t="shared" si="37"/>
        <v>0</v>
      </c>
      <c r="M50" s="76">
        <f t="shared" si="37"/>
        <v>92968.26</v>
      </c>
      <c r="N50" s="76">
        <f t="shared" si="37"/>
        <v>92968.26</v>
      </c>
      <c r="O50" s="77">
        <f t="shared" si="37"/>
        <v>0</v>
      </c>
      <c r="P50" s="76">
        <f t="shared" si="37"/>
        <v>371218.12</v>
      </c>
      <c r="Q50" s="76">
        <f t="shared" si="37"/>
        <v>371218.12</v>
      </c>
      <c r="R50" s="77">
        <f t="shared" si="37"/>
        <v>0</v>
      </c>
      <c r="S50" s="104">
        <f t="shared" si="37"/>
        <v>327208.24</v>
      </c>
      <c r="T50" s="96">
        <v>9.1999999999999998E-2</v>
      </c>
      <c r="U50" s="200">
        <f t="shared" si="36"/>
        <v>4033173.91</v>
      </c>
      <c r="V50" s="200">
        <f t="shared" si="36"/>
        <v>3705965.67</v>
      </c>
      <c r="W50" s="46">
        <f t="shared" si="26"/>
        <v>8.1129216666979767E-2</v>
      </c>
      <c r="X50" s="46"/>
      <c r="Y50" s="46">
        <f>S50/(D50+G50+J50)</f>
        <v>9.1680970373129875E-2</v>
      </c>
    </row>
    <row r="51" spans="1:26" x14ac:dyDescent="0.25">
      <c r="A51" s="33" t="s">
        <v>53</v>
      </c>
      <c r="B51" s="745" t="s">
        <v>54</v>
      </c>
      <c r="C51" s="74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152">
        <f t="shared" si="36"/>
        <v>0</v>
      </c>
      <c r="V51" s="152">
        <f t="shared" si="36"/>
        <v>0</v>
      </c>
      <c r="W51" s="46"/>
      <c r="X51" s="46"/>
      <c r="Y51" s="46"/>
    </row>
    <row r="52" spans="1:26" ht="33.75" customHeight="1" x14ac:dyDescent="0.25">
      <c r="A52" s="33"/>
      <c r="B52" s="726" t="s">
        <v>73</v>
      </c>
      <c r="C52" s="727"/>
      <c r="D52" s="433">
        <f>600000-600000</f>
        <v>0</v>
      </c>
      <c r="E52" s="92"/>
      <c r="F52" s="92"/>
      <c r="G52" s="92"/>
      <c r="H52" s="92"/>
      <c r="I52" s="92"/>
      <c r="J52" s="92"/>
      <c r="K52" s="92"/>
      <c r="L52" s="92"/>
      <c r="M52" s="92">
        <v>1863641.36</v>
      </c>
      <c r="N52" s="92">
        <v>1863641.36</v>
      </c>
      <c r="O52" s="92">
        <f>M52-N52</f>
        <v>0</v>
      </c>
      <c r="P52" s="92">
        <f>1200000+4612266.96</f>
        <v>5812266.96</v>
      </c>
      <c r="Q52" s="92">
        <f>1200000+4612266.96</f>
        <v>5812266.96</v>
      </c>
      <c r="R52" s="92">
        <f t="shared" ref="R52:R53" si="38">P52-Q52</f>
        <v>0</v>
      </c>
      <c r="S52" s="92">
        <f t="shared" ref="S52:S53" si="39">F52+I52+L52+O52+R52</f>
        <v>0</v>
      </c>
      <c r="T52" s="92"/>
      <c r="U52" s="215">
        <f t="shared" si="36"/>
        <v>7675908.3200000003</v>
      </c>
      <c r="V52" s="215">
        <f t="shared" si="36"/>
        <v>7675908.3200000003</v>
      </c>
      <c r="W52" s="46"/>
      <c r="X52" s="46"/>
      <c r="Y52" s="46"/>
      <c r="Z52" s="218"/>
    </row>
    <row r="53" spans="1:26" ht="36" customHeight="1" thickBot="1" x14ac:dyDescent="0.3">
      <c r="A53" s="33"/>
      <c r="B53" s="724" t="s">
        <v>74</v>
      </c>
      <c r="C53" s="725"/>
      <c r="D53" s="75">
        <v>11354345.4</v>
      </c>
      <c r="E53" s="75">
        <v>11354345.4</v>
      </c>
      <c r="F53" s="75">
        <f t="shared" ref="F53" si="40">D53-E53</f>
        <v>0</v>
      </c>
      <c r="G53" s="75"/>
      <c r="H53" s="75"/>
      <c r="I53" s="75">
        <f t="shared" ref="I53" si="41">G53-H53</f>
        <v>0</v>
      </c>
      <c r="J53" s="75"/>
      <c r="K53" s="75"/>
      <c r="L53" s="75"/>
      <c r="M53" s="75"/>
      <c r="N53" s="75"/>
      <c r="O53" s="75"/>
      <c r="P53" s="75"/>
      <c r="Q53" s="75"/>
      <c r="R53" s="75">
        <f t="shared" si="38"/>
        <v>0</v>
      </c>
      <c r="S53" s="75">
        <f t="shared" si="39"/>
        <v>0</v>
      </c>
      <c r="T53" s="75"/>
      <c r="U53" s="215">
        <f t="shared" si="36"/>
        <v>11354345.4</v>
      </c>
      <c r="V53" s="215">
        <f t="shared" si="36"/>
        <v>11354345.4</v>
      </c>
      <c r="W53" s="46"/>
      <c r="X53" s="46"/>
      <c r="Y53" s="46"/>
    </row>
    <row r="54" spans="1:26" ht="15.75" thickBot="1" x14ac:dyDescent="0.3">
      <c r="A54" s="66"/>
      <c r="B54" s="94" t="s">
        <v>23</v>
      </c>
      <c r="C54" s="64"/>
      <c r="D54" s="76">
        <f>SUM(D51:D53)</f>
        <v>11354345.4</v>
      </c>
      <c r="E54" s="76">
        <f t="shared" ref="E54:R54" si="42">SUM(E51:E53)</f>
        <v>11354345.4</v>
      </c>
      <c r="F54" s="77">
        <f t="shared" si="42"/>
        <v>0</v>
      </c>
      <c r="G54" s="76">
        <f t="shared" si="42"/>
        <v>0</v>
      </c>
      <c r="H54" s="76">
        <f t="shared" si="42"/>
        <v>0</v>
      </c>
      <c r="I54" s="77">
        <f t="shared" si="42"/>
        <v>0</v>
      </c>
      <c r="J54" s="76">
        <f t="shared" si="42"/>
        <v>0</v>
      </c>
      <c r="K54" s="76">
        <f t="shared" si="42"/>
        <v>0</v>
      </c>
      <c r="L54" s="77">
        <f t="shared" si="42"/>
        <v>0</v>
      </c>
      <c r="M54" s="76">
        <f t="shared" si="42"/>
        <v>1863641.36</v>
      </c>
      <c r="N54" s="76">
        <f t="shared" si="42"/>
        <v>1863641.36</v>
      </c>
      <c r="O54" s="77">
        <f t="shared" si="42"/>
        <v>0</v>
      </c>
      <c r="P54" s="76">
        <f t="shared" si="42"/>
        <v>5812266.96</v>
      </c>
      <c r="Q54" s="76">
        <f t="shared" si="42"/>
        <v>5812266.96</v>
      </c>
      <c r="R54" s="77">
        <f t="shared" si="42"/>
        <v>0</v>
      </c>
      <c r="S54" s="77">
        <f>SUM(S51:S53)</f>
        <v>0</v>
      </c>
      <c r="T54" s="96">
        <v>0</v>
      </c>
      <c r="U54" s="200">
        <f t="shared" si="36"/>
        <v>19030253.719999999</v>
      </c>
      <c r="V54" s="200">
        <f t="shared" si="36"/>
        <v>19030253.719999999</v>
      </c>
      <c r="W54" s="46">
        <f>S54/(D54+G54+J54+M54+P54)</f>
        <v>0</v>
      </c>
      <c r="X54" s="46"/>
      <c r="Y54" s="46">
        <f>S54/(D54+G54+J54+M54)</f>
        <v>0</v>
      </c>
    </row>
    <row r="55" spans="1:26" x14ac:dyDescent="0.25">
      <c r="A55" s="33" t="s">
        <v>55</v>
      </c>
      <c r="B55" s="745" t="s">
        <v>56</v>
      </c>
      <c r="C55" s="74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152">
        <f t="shared" si="36"/>
        <v>0</v>
      </c>
      <c r="V55" s="152">
        <f t="shared" si="36"/>
        <v>0</v>
      </c>
      <c r="W55" s="46"/>
      <c r="X55" s="46"/>
      <c r="Y55" s="46"/>
    </row>
    <row r="56" spans="1:26" ht="30.75" customHeight="1" thickBot="1" x14ac:dyDescent="0.3">
      <c r="A56" s="33"/>
      <c r="B56" s="726" t="s">
        <v>73</v>
      </c>
      <c r="C56" s="727"/>
      <c r="D56" s="92">
        <v>984149</v>
      </c>
      <c r="E56" s="92">
        <v>930020.8</v>
      </c>
      <c r="F56" s="92">
        <f>D56-E56</f>
        <v>54128.199999999953</v>
      </c>
      <c r="G56" s="92"/>
      <c r="H56" s="92"/>
      <c r="I56" s="75">
        <f t="shared" ref="I56:I57" si="43">G56-H56</f>
        <v>0</v>
      </c>
      <c r="J56" s="92">
        <v>4301450.67</v>
      </c>
      <c r="K56" s="92">
        <v>3700000</v>
      </c>
      <c r="L56" s="92">
        <f>J56-K56</f>
        <v>601450.66999999993</v>
      </c>
      <c r="M56" s="92">
        <v>73000</v>
      </c>
      <c r="N56" s="92">
        <v>73000</v>
      </c>
      <c r="O56" s="92">
        <f>M56-N56</f>
        <v>0</v>
      </c>
      <c r="P56" s="92">
        <v>390000</v>
      </c>
      <c r="Q56" s="92">
        <v>390000</v>
      </c>
      <c r="R56" s="92">
        <f t="shared" ref="R56:R57" si="44">P56-Q56</f>
        <v>0</v>
      </c>
      <c r="S56" s="92">
        <f t="shared" ref="S56:S57" si="45">F56+I56+L56+O56+R56</f>
        <v>655578.86999999988</v>
      </c>
      <c r="T56" s="92"/>
      <c r="U56" s="215">
        <f t="shared" si="36"/>
        <v>5748599.6699999999</v>
      </c>
      <c r="V56" s="215">
        <f t="shared" si="36"/>
        <v>5093020.8</v>
      </c>
      <c r="W56" s="46"/>
      <c r="X56" s="46"/>
      <c r="Y56" s="46"/>
    </row>
    <row r="57" spans="1:26" ht="33.75" customHeight="1" thickBot="1" x14ac:dyDescent="0.3">
      <c r="A57" s="33"/>
      <c r="B57" s="724" t="s">
        <v>74</v>
      </c>
      <c r="C57" s="725"/>
      <c r="D57" s="75">
        <v>3067985.37</v>
      </c>
      <c r="E57" s="75">
        <v>2882510.54</v>
      </c>
      <c r="F57" s="92">
        <f>D57-E57</f>
        <v>185474.83000000007</v>
      </c>
      <c r="G57" s="75"/>
      <c r="H57" s="75"/>
      <c r="I57" s="75">
        <f t="shared" si="43"/>
        <v>0</v>
      </c>
      <c r="J57" s="75"/>
      <c r="K57" s="75"/>
      <c r="L57" s="75"/>
      <c r="M57" s="75"/>
      <c r="N57" s="75"/>
      <c r="O57" s="75"/>
      <c r="P57" s="75"/>
      <c r="Q57" s="75"/>
      <c r="R57" s="75">
        <f t="shared" si="44"/>
        <v>0</v>
      </c>
      <c r="S57" s="75">
        <f t="shared" si="45"/>
        <v>185474.83000000007</v>
      </c>
      <c r="T57" s="75"/>
      <c r="U57" s="215">
        <f t="shared" si="36"/>
        <v>3067985.37</v>
      </c>
      <c r="V57" s="215">
        <f t="shared" si="36"/>
        <v>2882510.54</v>
      </c>
      <c r="W57" s="46"/>
      <c r="X57" s="46"/>
      <c r="Y57" s="46"/>
    </row>
    <row r="58" spans="1:26" ht="15.75" thickBot="1" x14ac:dyDescent="0.3">
      <c r="A58" s="66"/>
      <c r="B58" s="64" t="s">
        <v>23</v>
      </c>
      <c r="C58" s="64"/>
      <c r="D58" s="76">
        <f>SUM(D55:D57)</f>
        <v>4052134.37</v>
      </c>
      <c r="E58" s="76">
        <f t="shared" ref="E58:N58" si="46">SUM(E55:E57)</f>
        <v>3812531.34</v>
      </c>
      <c r="F58" s="77">
        <f t="shared" si="46"/>
        <v>239603.03000000003</v>
      </c>
      <c r="G58" s="76">
        <f t="shared" si="46"/>
        <v>0</v>
      </c>
      <c r="H58" s="76">
        <f t="shared" si="46"/>
        <v>0</v>
      </c>
      <c r="I58" s="77">
        <f t="shared" si="46"/>
        <v>0</v>
      </c>
      <c r="J58" s="76">
        <f t="shared" si="46"/>
        <v>4301450.67</v>
      </c>
      <c r="K58" s="76">
        <f t="shared" si="46"/>
        <v>3700000</v>
      </c>
      <c r="L58" s="77">
        <f t="shared" si="46"/>
        <v>601450.66999999993</v>
      </c>
      <c r="M58" s="76">
        <f t="shared" si="46"/>
        <v>73000</v>
      </c>
      <c r="N58" s="76">
        <f t="shared" si="46"/>
        <v>73000</v>
      </c>
      <c r="O58" s="77">
        <f>SUM(O55:O57)</f>
        <v>0</v>
      </c>
      <c r="P58" s="76">
        <f t="shared" ref="P58:R58" si="47">SUM(P55:P57)</f>
        <v>390000</v>
      </c>
      <c r="Q58" s="76">
        <f t="shared" si="47"/>
        <v>390000</v>
      </c>
      <c r="R58" s="77">
        <f t="shared" si="47"/>
        <v>0</v>
      </c>
      <c r="S58" s="104">
        <f>SUM(S55:S57)</f>
        <v>841053.7</v>
      </c>
      <c r="T58" s="96">
        <v>0.10100000000000001</v>
      </c>
      <c r="U58" s="200">
        <f t="shared" si="36"/>
        <v>8816585.0399999991</v>
      </c>
      <c r="V58" s="200">
        <f t="shared" si="36"/>
        <v>7975531.3399999999</v>
      </c>
      <c r="W58" s="46">
        <f>S58/(D58+G58+J58+M58+P58)</f>
        <v>9.5394497550266924E-2</v>
      </c>
      <c r="X58" s="46"/>
      <c r="Y58" s="46">
        <f>S58/(D58+G58+J58)</f>
        <v>0.10068176668732398</v>
      </c>
    </row>
    <row r="59" spans="1:26" x14ac:dyDescent="0.25">
      <c r="A59" s="33" t="s">
        <v>57</v>
      </c>
      <c r="B59" s="745" t="s">
        <v>58</v>
      </c>
      <c r="C59" s="74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152">
        <f t="shared" si="36"/>
        <v>0</v>
      </c>
      <c r="V59" s="152">
        <f t="shared" si="36"/>
        <v>0</v>
      </c>
      <c r="W59" s="46"/>
      <c r="X59" s="46"/>
      <c r="Y59" s="46"/>
    </row>
    <row r="60" spans="1:26" ht="33" customHeight="1" x14ac:dyDescent="0.25">
      <c r="A60" s="33"/>
      <c r="B60" s="726" t="s">
        <v>73</v>
      </c>
      <c r="C60" s="727"/>
      <c r="D60" s="431">
        <f>109458294.98-2203344-2809263.6</f>
        <v>104445687.38000001</v>
      </c>
      <c r="E60" s="92">
        <v>101312316.73999999</v>
      </c>
      <c r="F60" s="432">
        <f>D60-E60</f>
        <v>3133370.6400000155</v>
      </c>
      <c r="G60" s="92">
        <v>1195998.69</v>
      </c>
      <c r="H60" s="92">
        <v>1009000</v>
      </c>
      <c r="I60" s="92">
        <f t="shared" ref="I60:I61" si="48">G60-H60</f>
        <v>186998.68999999994</v>
      </c>
      <c r="J60" s="92"/>
      <c r="K60" s="92"/>
      <c r="L60" s="92">
        <f>J60-K60</f>
        <v>0</v>
      </c>
      <c r="M60" s="92">
        <v>1675176.15</v>
      </c>
      <c r="N60" s="92">
        <v>1675176.15</v>
      </c>
      <c r="O60" s="92">
        <f>M60-N60</f>
        <v>0</v>
      </c>
      <c r="P60" s="92">
        <v>3186848.63</v>
      </c>
      <c r="Q60" s="92">
        <v>3186848.63</v>
      </c>
      <c r="R60" s="92">
        <f t="shared" ref="R60:R61" si="49">P60-Q60</f>
        <v>0</v>
      </c>
      <c r="S60" s="92">
        <f>F60+I60+L60+O60+R60</f>
        <v>3320369.3300000154</v>
      </c>
      <c r="T60" s="92"/>
      <c r="U60" s="215">
        <f t="shared" si="36"/>
        <v>110503710.85000001</v>
      </c>
      <c r="V60" s="215">
        <f t="shared" si="36"/>
        <v>107183341.52</v>
      </c>
      <c r="W60" s="46"/>
      <c r="X60" s="46"/>
      <c r="Y60" s="46"/>
      <c r="Z60" s="218"/>
    </row>
    <row r="61" spans="1:26" ht="34.5" customHeight="1" thickBot="1" x14ac:dyDescent="0.3">
      <c r="A61" s="33"/>
      <c r="B61" s="724" t="s">
        <v>74</v>
      </c>
      <c r="C61" s="725"/>
      <c r="D61" s="75">
        <v>29730565.600000001</v>
      </c>
      <c r="E61" s="75">
        <v>29721310.079999998</v>
      </c>
      <c r="F61" s="75">
        <f t="shared" ref="F61" si="50">D61-E61</f>
        <v>9255.5200000032783</v>
      </c>
      <c r="G61" s="75"/>
      <c r="H61" s="75"/>
      <c r="I61" s="75">
        <f t="shared" si="48"/>
        <v>0</v>
      </c>
      <c r="J61" s="75"/>
      <c r="K61" s="75"/>
      <c r="L61" s="75"/>
      <c r="M61" s="75"/>
      <c r="N61" s="75"/>
      <c r="O61" s="75"/>
      <c r="P61" s="75"/>
      <c r="Q61" s="75"/>
      <c r="R61" s="75">
        <f t="shared" si="49"/>
        <v>0</v>
      </c>
      <c r="S61" s="75">
        <f t="shared" ref="S61" si="51">F61+I61+L61+O61+R61</f>
        <v>9255.5200000032783</v>
      </c>
      <c r="T61" s="75"/>
      <c r="U61" s="215">
        <f t="shared" si="36"/>
        <v>29730565.600000001</v>
      </c>
      <c r="V61" s="215">
        <f t="shared" si="36"/>
        <v>29721310.079999998</v>
      </c>
      <c r="W61" s="46"/>
      <c r="X61" s="46"/>
      <c r="Y61" s="46"/>
    </row>
    <row r="62" spans="1:26" ht="15.75" thickBot="1" x14ac:dyDescent="0.3">
      <c r="A62" s="66"/>
      <c r="B62" s="94" t="s">
        <v>23</v>
      </c>
      <c r="C62" s="64"/>
      <c r="D62" s="76">
        <f>SUM(D59:D61)</f>
        <v>134176252.98000002</v>
      </c>
      <c r="E62" s="76">
        <f t="shared" ref="E62:S62" si="52">SUM(E59:E61)</f>
        <v>131033626.81999999</v>
      </c>
      <c r="F62" s="104">
        <f>SUM(F59:F61)</f>
        <v>3142626.1600000188</v>
      </c>
      <c r="G62" s="76">
        <f t="shared" si="52"/>
        <v>1195998.69</v>
      </c>
      <c r="H62" s="76">
        <f t="shared" si="52"/>
        <v>1009000</v>
      </c>
      <c r="I62" s="77">
        <f t="shared" si="52"/>
        <v>186998.68999999994</v>
      </c>
      <c r="J62" s="76">
        <f t="shared" si="52"/>
        <v>0</v>
      </c>
      <c r="K62" s="76">
        <f t="shared" si="52"/>
        <v>0</v>
      </c>
      <c r="L62" s="77">
        <f t="shared" si="52"/>
        <v>0</v>
      </c>
      <c r="M62" s="76">
        <f t="shared" si="52"/>
        <v>1675176.15</v>
      </c>
      <c r="N62" s="76">
        <f t="shared" si="52"/>
        <v>1675176.15</v>
      </c>
      <c r="O62" s="77">
        <f t="shared" si="52"/>
        <v>0</v>
      </c>
      <c r="P62" s="76">
        <f t="shared" si="52"/>
        <v>3186848.63</v>
      </c>
      <c r="Q62" s="76">
        <f t="shared" si="52"/>
        <v>3186848.63</v>
      </c>
      <c r="R62" s="77">
        <f t="shared" si="52"/>
        <v>0</v>
      </c>
      <c r="S62" s="104">
        <f t="shared" si="52"/>
        <v>3329624.8500000187</v>
      </c>
      <c r="T62" s="96">
        <v>2.5000000000000001E-2</v>
      </c>
      <c r="U62" s="200">
        <f>D62+G62+J62+M62+P62</f>
        <v>140234276.45000002</v>
      </c>
      <c r="V62" s="200">
        <f t="shared" si="36"/>
        <v>136904651.59999999</v>
      </c>
      <c r="W62" s="46">
        <f>S62/(D62+G62+J62+M62+P62)</f>
        <v>2.3743302524095695E-2</v>
      </c>
      <c r="X62" s="46"/>
      <c r="Y62" s="46">
        <f>S62/(D62+G62+J62)</f>
        <v>2.4596066098661933E-2</v>
      </c>
    </row>
    <row r="63" spans="1:26" x14ac:dyDescent="0.25">
      <c r="A63" s="33" t="s">
        <v>60</v>
      </c>
      <c r="B63" s="745" t="s">
        <v>59</v>
      </c>
      <c r="C63" s="74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152">
        <f t="shared" si="36"/>
        <v>0</v>
      </c>
      <c r="V63" s="152">
        <f t="shared" si="36"/>
        <v>0</v>
      </c>
      <c r="W63" s="80"/>
      <c r="X63" s="46"/>
      <c r="Y63" s="46"/>
    </row>
    <row r="64" spans="1:26" ht="33.75" customHeight="1" x14ac:dyDescent="0.25">
      <c r="A64" s="33"/>
      <c r="B64" s="726" t="s">
        <v>73</v>
      </c>
      <c r="C64" s="727"/>
      <c r="D64" s="92">
        <v>14607602.08</v>
      </c>
      <c r="E64" s="92">
        <v>9954621.5500000007</v>
      </c>
      <c r="F64" s="92">
        <f>D64-E64</f>
        <v>4652980.5299999993</v>
      </c>
      <c r="G64" s="92"/>
      <c r="H64" s="92"/>
      <c r="I64" s="92">
        <f t="shared" ref="I64:I65" si="53">G64-H64</f>
        <v>0</v>
      </c>
      <c r="J64" s="92">
        <v>1114642.92</v>
      </c>
      <c r="K64" s="92">
        <v>815104.63</v>
      </c>
      <c r="L64" s="92">
        <f>J64-K64</f>
        <v>299538.28999999992</v>
      </c>
      <c r="M64" s="92">
        <v>392691.6</v>
      </c>
      <c r="N64" s="92">
        <v>381691.6</v>
      </c>
      <c r="O64" s="92">
        <f>M64-N64</f>
        <v>11000</v>
      </c>
      <c r="P64" s="92">
        <v>1141025.79</v>
      </c>
      <c r="Q64" s="92">
        <v>1141025.79</v>
      </c>
      <c r="R64" s="92">
        <f t="shared" ref="R64:R65" si="54">P64-Q64</f>
        <v>0</v>
      </c>
      <c r="S64" s="92">
        <f>F64+I64+L64+O64+R64</f>
        <v>4963518.8199999994</v>
      </c>
      <c r="T64" s="92"/>
      <c r="U64" s="215">
        <f t="shared" si="36"/>
        <v>17255962.390000001</v>
      </c>
      <c r="V64" s="215">
        <f t="shared" si="36"/>
        <v>12292443.57</v>
      </c>
      <c r="W64" s="46"/>
      <c r="X64" s="46"/>
      <c r="Y64" s="46"/>
    </row>
    <row r="65" spans="1:25" ht="32.25" customHeight="1" thickBot="1" x14ac:dyDescent="0.3">
      <c r="A65" s="33"/>
      <c r="B65" s="724" t="s">
        <v>74</v>
      </c>
      <c r="C65" s="725"/>
      <c r="D65" s="75">
        <v>16501216.52</v>
      </c>
      <c r="E65" s="75">
        <v>16343243.58</v>
      </c>
      <c r="F65" s="75">
        <f>D65-E65</f>
        <v>157972.93999999948</v>
      </c>
      <c r="G65" s="75"/>
      <c r="H65" s="75"/>
      <c r="I65" s="75">
        <f t="shared" si="53"/>
        <v>0</v>
      </c>
      <c r="J65" s="75"/>
      <c r="K65" s="75"/>
      <c r="L65" s="75"/>
      <c r="M65" s="75"/>
      <c r="N65" s="75"/>
      <c r="O65" s="75"/>
      <c r="P65" s="75"/>
      <c r="Q65" s="75"/>
      <c r="R65" s="75">
        <f t="shared" si="54"/>
        <v>0</v>
      </c>
      <c r="S65" s="75">
        <f t="shared" ref="S65" si="55">F65+I65+L65+O65+R65</f>
        <v>157972.93999999948</v>
      </c>
      <c r="T65" s="75"/>
      <c r="U65" s="215">
        <f t="shared" si="36"/>
        <v>16501216.52</v>
      </c>
      <c r="V65" s="215">
        <f t="shared" si="36"/>
        <v>16343243.58</v>
      </c>
      <c r="W65" s="46"/>
      <c r="X65" s="46"/>
      <c r="Y65" s="46"/>
    </row>
    <row r="66" spans="1:25" ht="15.75" thickBot="1" x14ac:dyDescent="0.3">
      <c r="A66" s="66"/>
      <c r="B66" s="94" t="s">
        <v>23</v>
      </c>
      <c r="C66" s="64"/>
      <c r="D66" s="76">
        <f>SUM(D63:D65)</f>
        <v>31108818.600000001</v>
      </c>
      <c r="E66" s="76">
        <f>SUM(E63:E65)</f>
        <v>26297865.130000003</v>
      </c>
      <c r="F66" s="77">
        <f>SUM(F63:F65)</f>
        <v>4810953.4699999988</v>
      </c>
      <c r="G66" s="76">
        <f t="shared" ref="G66:R66" si="56">SUM(G63:G65)</f>
        <v>0</v>
      </c>
      <c r="H66" s="76">
        <f t="shared" si="56"/>
        <v>0</v>
      </c>
      <c r="I66" s="77">
        <f t="shared" si="56"/>
        <v>0</v>
      </c>
      <c r="J66" s="76">
        <f t="shared" si="56"/>
        <v>1114642.92</v>
      </c>
      <c r="K66" s="76">
        <f t="shared" si="56"/>
        <v>815104.63</v>
      </c>
      <c r="L66" s="77">
        <f>SUM(L63:L65)</f>
        <v>299538.28999999992</v>
      </c>
      <c r="M66" s="76">
        <f t="shared" si="56"/>
        <v>392691.6</v>
      </c>
      <c r="N66" s="76">
        <f t="shared" si="56"/>
        <v>381691.6</v>
      </c>
      <c r="O66" s="77">
        <f t="shared" si="56"/>
        <v>11000</v>
      </c>
      <c r="P66" s="76">
        <f t="shared" si="56"/>
        <v>1141025.79</v>
      </c>
      <c r="Q66" s="76">
        <f t="shared" si="56"/>
        <v>1141025.79</v>
      </c>
      <c r="R66" s="77">
        <f t="shared" si="56"/>
        <v>0</v>
      </c>
      <c r="S66" s="104">
        <f>SUM(S63:S65)</f>
        <v>5121491.7599999988</v>
      </c>
      <c r="T66" s="96">
        <v>0.159</v>
      </c>
      <c r="U66" s="200">
        <f t="shared" si="36"/>
        <v>33757178.910000004</v>
      </c>
      <c r="V66" s="200">
        <f t="shared" si="36"/>
        <v>28635687.150000002</v>
      </c>
      <c r="W66" s="48">
        <f t="shared" si="26"/>
        <v>0.15171563280374836</v>
      </c>
      <c r="X66" s="46"/>
      <c r="Y66" s="46">
        <f>S66/(D66+G66+J66)</f>
        <v>0.15893673486385887</v>
      </c>
    </row>
    <row r="67" spans="1:25" x14ac:dyDescent="0.25">
      <c r="A67" s="33" t="s">
        <v>61</v>
      </c>
      <c r="B67" s="745" t="s">
        <v>62</v>
      </c>
      <c r="C67" s="746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152">
        <f t="shared" si="36"/>
        <v>0</v>
      </c>
      <c r="V67" s="152">
        <f t="shared" si="36"/>
        <v>0</v>
      </c>
      <c r="W67" s="46"/>
      <c r="X67" s="46"/>
      <c r="Y67" s="46"/>
    </row>
    <row r="68" spans="1:25" ht="32.25" customHeight="1" x14ac:dyDescent="0.25">
      <c r="A68" s="33"/>
      <c r="B68" s="726" t="s">
        <v>73</v>
      </c>
      <c r="C68" s="727"/>
      <c r="D68" s="431">
        <f>37122776.95-1736500.8</f>
        <v>35386276.150000006</v>
      </c>
      <c r="E68" s="92">
        <v>25983679.940000001</v>
      </c>
      <c r="F68" s="434">
        <v>9402596.2100000009</v>
      </c>
      <c r="G68" s="92"/>
      <c r="H68" s="92"/>
      <c r="I68" s="92">
        <f>G68-H68</f>
        <v>0</v>
      </c>
      <c r="J68" s="92"/>
      <c r="K68" s="92"/>
      <c r="L68" s="92"/>
      <c r="M68" s="217">
        <v>1534040.9</v>
      </c>
      <c r="N68" s="217">
        <v>1534040.9</v>
      </c>
      <c r="O68" s="92">
        <f>M68-N68</f>
        <v>0</v>
      </c>
      <c r="P68" s="217">
        <v>5761110.5999999996</v>
      </c>
      <c r="Q68" s="92">
        <v>5761110.5999999996</v>
      </c>
      <c r="R68" s="92">
        <f>P68-Q68</f>
        <v>0</v>
      </c>
      <c r="S68" s="92"/>
      <c r="T68" s="92"/>
      <c r="U68" s="215">
        <f t="shared" si="36"/>
        <v>42681427.650000006</v>
      </c>
      <c r="V68" s="215">
        <f t="shared" si="36"/>
        <v>33278831.439999998</v>
      </c>
      <c r="W68" s="46"/>
      <c r="X68" s="46"/>
      <c r="Y68" s="46"/>
    </row>
    <row r="69" spans="1:25" ht="34.5" customHeight="1" thickBot="1" x14ac:dyDescent="0.3">
      <c r="A69" s="33"/>
      <c r="B69" s="724" t="s">
        <v>74</v>
      </c>
      <c r="C69" s="725"/>
      <c r="D69" s="311">
        <v>161711879.27000001</v>
      </c>
      <c r="E69" s="75">
        <v>161672711.88</v>
      </c>
      <c r="F69" s="75">
        <f>D69-E69</f>
        <v>39167.390000015497</v>
      </c>
      <c r="G69" s="75"/>
      <c r="H69" s="75"/>
      <c r="I69" s="92">
        <f>G69-H69</f>
        <v>0</v>
      </c>
      <c r="J69" s="75"/>
      <c r="K69" s="75"/>
      <c r="L69" s="75"/>
      <c r="M69" s="75"/>
      <c r="N69" s="75"/>
      <c r="O69" s="75"/>
      <c r="P69" s="75"/>
      <c r="Q69" s="75"/>
      <c r="R69" s="75">
        <v>0</v>
      </c>
      <c r="S69" s="75"/>
      <c r="T69" s="75"/>
      <c r="U69" s="215">
        <f>D69+G69+J69+M69+P69</f>
        <v>161711879.27000001</v>
      </c>
      <c r="V69" s="215">
        <f t="shared" si="36"/>
        <v>161672711.88</v>
      </c>
      <c r="W69" s="46"/>
      <c r="X69" s="46"/>
      <c r="Y69" s="46"/>
    </row>
    <row r="70" spans="1:25" ht="15.75" thickBot="1" x14ac:dyDescent="0.3">
      <c r="A70" s="139"/>
      <c r="B70" s="140" t="s">
        <v>23</v>
      </c>
      <c r="C70" s="140"/>
      <c r="D70" s="141">
        <f>SUM(D67:D69)</f>
        <v>197098155.42000002</v>
      </c>
      <c r="E70" s="141">
        <f>SUM(E67:E69)</f>
        <v>187656391.81999999</v>
      </c>
      <c r="F70" s="142">
        <f>F68+F69</f>
        <v>9441763.6000000164</v>
      </c>
      <c r="G70" s="141">
        <f>SUM(G67:G69)</f>
        <v>0</v>
      </c>
      <c r="H70" s="141">
        <f>SUM(H67:H69)</f>
        <v>0</v>
      </c>
      <c r="I70" s="142">
        <f t="shared" si="5"/>
        <v>0</v>
      </c>
      <c r="J70" s="141"/>
      <c r="K70" s="141"/>
      <c r="L70" s="142">
        <v>0</v>
      </c>
      <c r="M70" s="141">
        <f>M68</f>
        <v>1534040.9</v>
      </c>
      <c r="N70" s="141">
        <f>N68</f>
        <v>1534040.9</v>
      </c>
      <c r="O70" s="142">
        <v>0</v>
      </c>
      <c r="P70" s="141">
        <f>SUM(P67:P69)</f>
        <v>5761110.5999999996</v>
      </c>
      <c r="Q70" s="141">
        <f>SUM(Q67:Q69)</f>
        <v>5761110.5999999996</v>
      </c>
      <c r="R70" s="142">
        <f t="shared" si="0"/>
        <v>0</v>
      </c>
      <c r="S70" s="143">
        <f>F70+I70+L70+O70+R70</f>
        <v>9441763.6000000164</v>
      </c>
      <c r="T70" s="144">
        <v>4.8000000000000001E-2</v>
      </c>
      <c r="U70" s="200">
        <f>D70+G70+J70+M70+P70</f>
        <v>204393306.92000002</v>
      </c>
      <c r="V70" s="200">
        <f t="shared" si="36"/>
        <v>194951543.31999999</v>
      </c>
      <c r="W70" s="46">
        <f>S70/(D70+G70+J70+M70+P70)</f>
        <v>4.6194093839362085E-2</v>
      </c>
      <c r="X70" s="46"/>
      <c r="Y70" s="46">
        <f>S70/(D70+G70+J70)</f>
        <v>4.7903865867645445E-2</v>
      </c>
    </row>
    <row r="71" spans="1:25" ht="15.75" thickBot="1" x14ac:dyDescent="0.3">
      <c r="A71" s="145"/>
      <c r="B71" s="146" t="s">
        <v>63</v>
      </c>
      <c r="C71" s="147"/>
      <c r="D71" s="141">
        <f>D18+D22+D26+D30+D34+D38+D42+D46+D50+D54+D58+D62+D66+D70</f>
        <v>651657118.54999995</v>
      </c>
      <c r="E71" s="141">
        <f>E18+E22+E26+E30+E34+E38+E42+E46+E50+E54+E58+E62+E66+E70</f>
        <v>626733549.1099999</v>
      </c>
      <c r="F71" s="142">
        <f>F18+F22+F26+F30+F34+F38+F42+F46+F50+F54+F58+F62+F66+F70</f>
        <v>24923569.440000027</v>
      </c>
      <c r="G71" s="141">
        <f>G18+G22+G26+G30+G34+G38+G42+G46+G50+G54+G58+G62+G66+G70</f>
        <v>5363249.4399999995</v>
      </c>
      <c r="H71" s="141">
        <f t="shared" ref="H71:R71" si="57">H18+H22+H26+H30+H34+H38+H42+H46+H50+H54+H58+H62+H66+H70</f>
        <v>4734198</v>
      </c>
      <c r="I71" s="142">
        <f>I18+I22+I26+I30+I34+I38+I42+I46+I50+I54+I58+I62+I66+I70</f>
        <v>629051.43999999994</v>
      </c>
      <c r="J71" s="141">
        <f>J18+J22+J26+J30+J34+J42+J46+J50+J54+J58+J62+J66+J70</f>
        <v>10947626.92</v>
      </c>
      <c r="K71" s="141">
        <f>K18+K22+K26+K30+K34+K42+K46+K50+K54+K58+K62+K66+K70</f>
        <v>9729637.6300000008</v>
      </c>
      <c r="L71" s="142">
        <f>L18+L22+L26+L30+L34+L38+L42+L46+L50+L54+L58+L62+L66+L70</f>
        <v>1217989.2899999998</v>
      </c>
      <c r="M71" s="141">
        <f>M18+M22+M26+M30+M34+M38+M42+M46+M50+M54+M58+M62+M66+M70</f>
        <v>6132178.3900000006</v>
      </c>
      <c r="N71" s="141">
        <f t="shared" si="57"/>
        <v>6094238.8499999996</v>
      </c>
      <c r="O71" s="142">
        <f>O18+O22+O26+O30+O34+O38+O42+O46+O50+O54+O58+O62+O66+O70</f>
        <v>37939.539999999979</v>
      </c>
      <c r="P71" s="141">
        <f t="shared" si="57"/>
        <v>33379821</v>
      </c>
      <c r="Q71" s="141">
        <f t="shared" si="57"/>
        <v>33379821</v>
      </c>
      <c r="R71" s="142">
        <f t="shared" si="57"/>
        <v>0</v>
      </c>
      <c r="S71" s="143">
        <f>S18+S22+S26+S30+S34+S38+S42+S46+S50+S54+S58+S62+S66+S70</f>
        <v>26808549.710000031</v>
      </c>
      <c r="T71" s="144">
        <v>0.04</v>
      </c>
      <c r="U71" s="200">
        <f>D71+G71+J71+M71+P71</f>
        <v>707479994.29999995</v>
      </c>
      <c r="V71" s="200">
        <f>E71+H71+K71+N71+Q71</f>
        <v>680671444.58999991</v>
      </c>
      <c r="W71" s="48">
        <f>S71/(D71+G71+J71+M71+P71)</f>
        <v>3.7893014538913063E-2</v>
      </c>
      <c r="X71" s="46"/>
      <c r="Y71" s="48">
        <f>S71/(D71+G71+J71)</f>
        <v>4.0134482361856474E-2</v>
      </c>
    </row>
    <row r="72" spans="1:25" x14ac:dyDescent="0.25">
      <c r="F72" s="80"/>
      <c r="I72" s="80"/>
      <c r="L72" s="203"/>
      <c r="O72" s="80"/>
      <c r="W72" s="153"/>
      <c r="Y72" s="26"/>
    </row>
    <row r="73" spans="1:25" x14ac:dyDescent="0.25">
      <c r="D73" s="344"/>
      <c r="E73" s="344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</row>
    <row r="74" spans="1:25" x14ac:dyDescent="0.25">
      <c r="D74" s="344"/>
      <c r="E74" s="345"/>
      <c r="F74" s="435">
        <f>D71+G71+J71</f>
        <v>667967994.90999997</v>
      </c>
      <c r="G74" s="349"/>
      <c r="H74" s="252"/>
      <c r="I74" s="252"/>
      <c r="J74" s="344"/>
      <c r="K74" s="344"/>
      <c r="L74" s="347"/>
      <c r="M74" s="252"/>
      <c r="N74" s="348"/>
      <c r="O74" s="349"/>
      <c r="P74" s="350"/>
      <c r="Q74" s="252"/>
      <c r="R74" s="252"/>
      <c r="S74" s="252"/>
      <c r="T74" s="252"/>
      <c r="U74" s="2"/>
    </row>
    <row r="75" spans="1:25" x14ac:dyDescent="0.25">
      <c r="D75" s="344"/>
      <c r="E75" s="344"/>
      <c r="F75" s="435">
        <f>E71+H71+K71</f>
        <v>641197384.73999989</v>
      </c>
      <c r="G75" s="352"/>
      <c r="H75" s="435">
        <f>F74+M71+P71</f>
        <v>707479994.29999995</v>
      </c>
      <c r="I75" s="252"/>
      <c r="J75" s="252"/>
      <c r="K75" s="252"/>
      <c r="L75" s="252"/>
      <c r="M75" s="351"/>
      <c r="N75" s="252"/>
      <c r="O75" s="252"/>
      <c r="P75" s="252"/>
      <c r="Q75" s="252"/>
      <c r="R75" s="252"/>
      <c r="S75" s="252"/>
      <c r="T75" s="252"/>
    </row>
    <row r="76" spans="1:25" x14ac:dyDescent="0.25">
      <c r="D76" s="344"/>
      <c r="E76" s="252"/>
      <c r="F76" s="346">
        <f>F74-F75</f>
        <v>26770610.170000076</v>
      </c>
      <c r="G76" s="352"/>
      <c r="H76" s="353"/>
      <c r="I76" s="252"/>
      <c r="J76" s="344"/>
      <c r="K76" s="252"/>
      <c r="L76" s="354"/>
      <c r="M76" s="252"/>
      <c r="N76" s="252"/>
      <c r="O76" s="252"/>
      <c r="P76" s="252"/>
      <c r="Q76" s="252"/>
      <c r="R76" s="252"/>
      <c r="S76" s="344"/>
      <c r="T76" s="252"/>
      <c r="U76" s="2"/>
      <c r="V76" s="2"/>
    </row>
    <row r="77" spans="1:25" x14ac:dyDescent="0.25">
      <c r="D77" s="344"/>
      <c r="E77" s="252"/>
      <c r="F77" s="346"/>
      <c r="G77" s="352"/>
      <c r="H77" s="353"/>
      <c r="I77" s="252"/>
      <c r="J77" s="252"/>
      <c r="K77" s="252"/>
      <c r="L77" s="354"/>
      <c r="M77" s="252"/>
      <c r="N77" s="252"/>
      <c r="O77" s="252"/>
      <c r="P77" s="252"/>
      <c r="Q77" s="252"/>
      <c r="R77" s="252"/>
      <c r="S77" s="252"/>
      <c r="T77" s="252"/>
      <c r="U77" s="2"/>
    </row>
    <row r="78" spans="1:25" x14ac:dyDescent="0.25">
      <c r="D78" s="344"/>
      <c r="E78" s="252"/>
      <c r="F78" s="346">
        <f>M71+P71</f>
        <v>39511999.390000001</v>
      </c>
      <c r="G78" s="352"/>
      <c r="H78" s="353"/>
      <c r="I78" s="252"/>
      <c r="J78" s="252"/>
      <c r="K78" s="252"/>
      <c r="L78" s="354"/>
      <c r="M78" s="252"/>
      <c r="N78" s="252"/>
      <c r="O78" s="252"/>
      <c r="P78" s="252"/>
      <c r="Q78" s="252"/>
      <c r="R78" s="252"/>
      <c r="S78" s="252"/>
      <c r="T78" s="252"/>
      <c r="U78" s="2"/>
    </row>
    <row r="79" spans="1:25" x14ac:dyDescent="0.25">
      <c r="D79" s="344"/>
      <c r="E79" s="252"/>
      <c r="F79" s="346"/>
      <c r="G79" s="352"/>
      <c r="H79" s="353"/>
      <c r="I79" s="252"/>
      <c r="J79" s="252"/>
      <c r="K79" s="252"/>
      <c r="L79" s="350"/>
      <c r="M79" s="252"/>
      <c r="N79" s="344"/>
      <c r="O79" s="344"/>
      <c r="P79" s="344"/>
      <c r="Q79" s="344"/>
      <c r="R79" s="252"/>
      <c r="S79" s="252"/>
      <c r="T79" s="252"/>
    </row>
    <row r="80" spans="1:25" x14ac:dyDescent="0.25">
      <c r="D80" s="344"/>
      <c r="E80" s="252"/>
      <c r="F80" s="346"/>
      <c r="G80" s="351"/>
      <c r="H80" s="252"/>
      <c r="I80" s="252"/>
      <c r="J80" s="252"/>
      <c r="K80" s="252"/>
      <c r="L80" s="252"/>
      <c r="M80" s="252"/>
      <c r="N80" s="344"/>
      <c r="O80" s="344"/>
      <c r="P80" s="344"/>
      <c r="Q80" s="344"/>
      <c r="R80" s="252"/>
      <c r="S80" s="252"/>
      <c r="T80" s="252"/>
    </row>
    <row r="81" spans="2:21" x14ac:dyDescent="0.25">
      <c r="C81" s="205"/>
      <c r="D81" s="348"/>
      <c r="E81" s="357"/>
      <c r="F81" s="358"/>
      <c r="G81" s="358"/>
      <c r="H81" s="350"/>
      <c r="I81" s="252"/>
      <c r="J81" s="252"/>
      <c r="K81" s="252"/>
      <c r="L81" s="252"/>
      <c r="M81" s="252"/>
      <c r="N81" s="344"/>
      <c r="O81" s="344"/>
      <c r="P81" s="344"/>
      <c r="Q81" s="344"/>
      <c r="R81" s="344"/>
      <c r="S81" s="252"/>
      <c r="T81" s="252"/>
    </row>
    <row r="82" spans="2:21" x14ac:dyDescent="0.25">
      <c r="C82" s="205"/>
      <c r="D82" s="358"/>
      <c r="E82" s="348"/>
      <c r="F82" s="359"/>
      <c r="G82" s="360"/>
      <c r="H82" s="252"/>
      <c r="I82" s="252"/>
      <c r="J82" s="252"/>
      <c r="K82" s="252"/>
      <c r="L82" s="252"/>
      <c r="M82" s="252"/>
      <c r="N82" s="361"/>
      <c r="O82" s="344"/>
      <c r="P82" s="344"/>
      <c r="Q82" s="344"/>
      <c r="R82" s="344"/>
      <c r="S82" s="252"/>
      <c r="T82" s="252"/>
      <c r="U82" s="80"/>
    </row>
    <row r="83" spans="2:21" x14ac:dyDescent="0.25"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344"/>
      <c r="O83" s="344"/>
      <c r="P83" s="344"/>
      <c r="Q83" s="344"/>
      <c r="R83" s="344"/>
      <c r="S83" s="252"/>
      <c r="T83" s="252"/>
    </row>
    <row r="84" spans="2:21" x14ac:dyDescent="0.25"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344"/>
      <c r="O84" s="344"/>
      <c r="P84" s="344"/>
      <c r="Q84" s="344"/>
      <c r="R84" s="344"/>
      <c r="S84" s="252"/>
      <c r="T84" s="252"/>
    </row>
    <row r="85" spans="2:21" x14ac:dyDescent="0.25"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344"/>
      <c r="O85" s="344"/>
      <c r="P85" s="344"/>
      <c r="Q85" s="344"/>
      <c r="R85" s="344"/>
      <c r="S85" s="252"/>
      <c r="T85" s="252"/>
    </row>
    <row r="86" spans="2:21" x14ac:dyDescent="0.25">
      <c r="D86" s="252"/>
      <c r="E86" s="252"/>
      <c r="F86" s="344"/>
      <c r="G86" s="344"/>
      <c r="H86" s="367"/>
      <c r="I86" s="367"/>
      <c r="J86" s="252"/>
      <c r="K86" s="252"/>
      <c r="L86" s="252"/>
      <c r="M86" s="252"/>
      <c r="N86" s="344"/>
      <c r="O86" s="344"/>
      <c r="P86" s="344"/>
      <c r="Q86" s="344"/>
      <c r="R86" s="344"/>
      <c r="S86" s="252"/>
      <c r="T86" s="252"/>
    </row>
    <row r="87" spans="2:21" x14ac:dyDescent="0.25">
      <c r="D87" s="344"/>
      <c r="E87" s="252"/>
      <c r="F87" s="346"/>
      <c r="G87" s="346"/>
      <c r="H87" s="368"/>
      <c r="I87" s="368"/>
      <c r="J87" s="252"/>
      <c r="K87" s="368"/>
      <c r="L87" s="252"/>
      <c r="M87" s="252"/>
      <c r="N87" s="344"/>
      <c r="O87" s="344"/>
      <c r="P87" s="344"/>
      <c r="Q87" s="344"/>
      <c r="R87" s="344"/>
      <c r="S87" s="252"/>
      <c r="T87" s="252"/>
    </row>
    <row r="88" spans="2:21" x14ac:dyDescent="0.25">
      <c r="D88" s="344"/>
      <c r="E88" s="252"/>
      <c r="F88" s="369"/>
      <c r="G88" s="369"/>
      <c r="H88" s="368"/>
      <c r="I88" s="368"/>
      <c r="J88" s="252"/>
      <c r="K88" s="368"/>
      <c r="L88" s="252"/>
      <c r="M88" s="252"/>
      <c r="N88" s="252"/>
      <c r="O88" s="252"/>
      <c r="P88" s="252"/>
      <c r="Q88" s="252"/>
      <c r="R88" s="252"/>
      <c r="S88" s="252"/>
      <c r="T88" s="252"/>
    </row>
    <row r="89" spans="2:21" x14ac:dyDescent="0.25">
      <c r="D89" s="344"/>
      <c r="E89" s="252"/>
      <c r="F89" s="369"/>
      <c r="G89" s="369"/>
      <c r="H89" s="368"/>
      <c r="I89" s="368"/>
      <c r="J89" s="252"/>
      <c r="K89" s="368"/>
      <c r="L89" s="252"/>
      <c r="M89" s="252"/>
      <c r="N89" s="252"/>
      <c r="O89" s="252"/>
      <c r="P89" s="252"/>
      <c r="Q89" s="252"/>
      <c r="R89" s="252"/>
      <c r="S89" s="252"/>
      <c r="T89" s="252"/>
    </row>
    <row r="90" spans="2:21" x14ac:dyDescent="0.25">
      <c r="D90" s="344"/>
      <c r="E90" s="252"/>
      <c r="F90" s="370"/>
      <c r="G90" s="370"/>
      <c r="H90" s="368"/>
      <c r="I90" s="368"/>
      <c r="J90" s="252"/>
      <c r="K90" s="368"/>
      <c r="L90" s="252"/>
      <c r="M90" s="252"/>
      <c r="N90" s="252"/>
      <c r="O90" s="252"/>
      <c r="P90" s="252"/>
      <c r="Q90" s="252"/>
      <c r="R90" s="252"/>
      <c r="S90" s="252"/>
      <c r="T90" s="252"/>
    </row>
    <row r="91" spans="2:21" x14ac:dyDescent="0.25">
      <c r="D91" s="344"/>
      <c r="E91" s="252"/>
      <c r="F91" s="371"/>
      <c r="G91" s="372"/>
      <c r="H91" s="368"/>
      <c r="I91" s="368"/>
      <c r="J91" s="252"/>
      <c r="K91" s="368"/>
      <c r="L91" s="252"/>
      <c r="M91" s="252"/>
      <c r="N91" s="252"/>
      <c r="O91" s="252"/>
      <c r="P91" s="252"/>
      <c r="Q91" s="252"/>
      <c r="R91" s="252"/>
      <c r="S91" s="252"/>
      <c r="T91" s="252"/>
    </row>
    <row r="92" spans="2:21" x14ac:dyDescent="0.25">
      <c r="D92" s="344"/>
      <c r="E92" s="252"/>
      <c r="F92" s="373"/>
      <c r="G92" s="373"/>
      <c r="H92" s="368"/>
      <c r="I92" s="368"/>
      <c r="J92" s="252"/>
      <c r="K92" s="368"/>
      <c r="L92" s="252"/>
      <c r="M92" s="252"/>
      <c r="N92" s="252"/>
      <c r="O92" s="252"/>
      <c r="P92" s="252"/>
      <c r="Q92" s="252"/>
      <c r="R92" s="252"/>
      <c r="S92" s="252"/>
      <c r="T92" s="252"/>
    </row>
    <row r="93" spans="2:21" x14ac:dyDescent="0.25">
      <c r="D93" s="252"/>
      <c r="E93" s="252"/>
      <c r="F93" s="346"/>
      <c r="G93" s="346"/>
      <c r="H93" s="368"/>
      <c r="I93" s="368"/>
      <c r="J93" s="344"/>
      <c r="K93" s="368"/>
      <c r="L93" s="252"/>
      <c r="M93" s="252"/>
      <c r="N93" s="252"/>
      <c r="O93" s="252"/>
      <c r="P93" s="252"/>
      <c r="Q93" s="344"/>
      <c r="R93" s="252"/>
      <c r="S93" s="252"/>
      <c r="T93" s="252"/>
    </row>
    <row r="94" spans="2:21" x14ac:dyDescent="0.25">
      <c r="C94" s="206"/>
      <c r="D94" s="355"/>
      <c r="E94" s="355"/>
      <c r="F94" s="252"/>
      <c r="G94" s="252"/>
      <c r="H94" s="252"/>
      <c r="I94" s="252"/>
      <c r="J94" s="252"/>
      <c r="K94" s="252"/>
      <c r="L94" s="252"/>
      <c r="M94" s="252"/>
      <c r="N94" s="376"/>
      <c r="O94" s="376"/>
      <c r="P94" s="370"/>
      <c r="Q94" s="344"/>
      <c r="R94" s="252"/>
      <c r="S94" s="377"/>
      <c r="T94" s="252"/>
    </row>
    <row r="95" spans="2:21" x14ac:dyDescent="0.25">
      <c r="C95" s="80"/>
      <c r="D95" s="378"/>
      <c r="E95" s="378"/>
      <c r="F95" s="350"/>
      <c r="G95" s="252"/>
      <c r="H95" s="252"/>
      <c r="I95" s="252"/>
      <c r="J95" s="252"/>
      <c r="K95" s="252"/>
      <c r="L95" s="252"/>
      <c r="M95" s="252"/>
      <c r="N95" s="376"/>
      <c r="O95" s="376"/>
      <c r="P95" s="370"/>
      <c r="Q95" s="353"/>
      <c r="R95" s="252"/>
      <c r="S95" s="377"/>
      <c r="T95" s="252"/>
    </row>
    <row r="96" spans="2:21" x14ac:dyDescent="0.25">
      <c r="B96" s="20"/>
      <c r="C96" s="20"/>
      <c r="D96" s="380"/>
      <c r="E96" s="379"/>
      <c r="F96" s="381"/>
      <c r="G96" s="252"/>
      <c r="H96" s="252"/>
      <c r="I96" s="252"/>
      <c r="J96" s="252"/>
      <c r="K96" s="252"/>
      <c r="L96" s="252"/>
      <c r="M96" s="252"/>
      <c r="N96" s="376"/>
      <c r="O96" s="376"/>
      <c r="P96" s="370"/>
      <c r="Q96" s="353"/>
      <c r="R96" s="252"/>
      <c r="S96" s="377"/>
      <c r="T96" s="252"/>
    </row>
    <row r="97" spans="2:27" x14ac:dyDescent="0.25">
      <c r="B97" s="20"/>
      <c r="C97" s="20"/>
      <c r="D97" s="380"/>
      <c r="E97" s="379"/>
      <c r="F97" s="381"/>
      <c r="G97" s="252"/>
      <c r="H97" s="252"/>
      <c r="I97" s="252"/>
      <c r="J97" s="252"/>
      <c r="K97" s="252"/>
      <c r="L97" s="252"/>
      <c r="M97" s="252"/>
      <c r="N97" s="376"/>
      <c r="O97" s="376"/>
      <c r="P97" s="370"/>
      <c r="Q97" s="353"/>
      <c r="R97" s="252"/>
      <c r="S97" s="252"/>
      <c r="T97" s="252"/>
    </row>
    <row r="98" spans="2:27" x14ac:dyDescent="0.25">
      <c r="B98" s="26"/>
      <c r="C98" s="26"/>
      <c r="D98" s="380"/>
      <c r="E98" s="374"/>
      <c r="F98" s="381"/>
      <c r="G98" s="252"/>
      <c r="H98" s="377"/>
      <c r="I98" s="381"/>
      <c r="J98" s="252"/>
      <c r="K98" s="252"/>
      <c r="L98" s="252"/>
      <c r="M98" s="252"/>
      <c r="N98" s="252"/>
      <c r="O98" s="252"/>
      <c r="P98" s="382"/>
      <c r="Q98" s="344"/>
      <c r="R98" s="252"/>
      <c r="S98" s="252"/>
      <c r="T98" s="252"/>
      <c r="U98" s="252"/>
      <c r="V98" s="252"/>
      <c r="W98" s="252"/>
      <c r="X98" s="252"/>
      <c r="Y98" s="252"/>
      <c r="Z98" s="252"/>
      <c r="AA98" s="252"/>
    </row>
    <row r="99" spans="2:27" x14ac:dyDescent="0.25">
      <c r="D99" s="378"/>
      <c r="E99" s="430"/>
      <c r="F99" s="381"/>
      <c r="G99" s="252"/>
      <c r="H99" s="377"/>
      <c r="I99" s="252"/>
      <c r="J99" s="252"/>
      <c r="K99" s="252"/>
      <c r="L99" s="252"/>
      <c r="M99" s="252"/>
      <c r="N99" s="252"/>
      <c r="O99" s="351"/>
      <c r="P99" s="351"/>
      <c r="Q99" s="344"/>
      <c r="R99" s="252"/>
      <c r="S99" s="252"/>
      <c r="T99" s="252"/>
      <c r="U99" s="252"/>
      <c r="V99" s="252"/>
      <c r="W99" s="252"/>
      <c r="X99" s="252"/>
      <c r="Y99" s="252"/>
      <c r="Z99" s="252"/>
      <c r="AA99" s="252"/>
    </row>
    <row r="100" spans="2:27" x14ac:dyDescent="0.25">
      <c r="D100" s="384"/>
      <c r="E100" s="385"/>
      <c r="F100" s="386"/>
      <c r="G100" s="386"/>
      <c r="H100" s="385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344"/>
      <c r="V100" s="344"/>
      <c r="W100" s="344"/>
      <c r="X100" s="344"/>
      <c r="Y100" s="252"/>
      <c r="Z100" s="252"/>
      <c r="AA100" s="252"/>
    </row>
    <row r="101" spans="2:27" ht="19.5" customHeight="1" x14ac:dyDescent="0.25">
      <c r="D101" s="360"/>
      <c r="E101" s="347"/>
      <c r="F101" s="370"/>
      <c r="G101" s="387"/>
      <c r="H101" s="388"/>
      <c r="I101" s="252"/>
      <c r="J101" s="252"/>
      <c r="K101" s="347"/>
      <c r="L101" s="347"/>
      <c r="M101" s="252"/>
      <c r="N101" s="389"/>
      <c r="O101" s="376"/>
      <c r="P101" s="354"/>
      <c r="Q101" s="252"/>
      <c r="R101" s="252"/>
      <c r="S101" s="252"/>
      <c r="T101" s="252"/>
      <c r="U101" s="344"/>
      <c r="V101" s="419"/>
      <c r="W101" s="419"/>
      <c r="X101" s="420"/>
      <c r="Y101" s="351"/>
      <c r="Z101" s="252"/>
      <c r="AA101" s="252"/>
    </row>
    <row r="102" spans="2:27" ht="19.5" customHeight="1" x14ac:dyDescent="0.25">
      <c r="D102" s="390"/>
      <c r="E102" s="370"/>
      <c r="F102" s="370"/>
      <c r="G102" s="391"/>
      <c r="H102" s="388"/>
      <c r="I102" s="252"/>
      <c r="J102" s="252"/>
      <c r="K102" s="347"/>
      <c r="L102" s="347"/>
      <c r="M102" s="252"/>
      <c r="N102" s="389"/>
      <c r="O102" s="252"/>
      <c r="P102" s="344"/>
      <c r="Q102" s="252"/>
      <c r="R102" s="252"/>
      <c r="S102" s="252"/>
      <c r="T102" s="252"/>
      <c r="U102" s="353"/>
      <c r="V102" s="377"/>
      <c r="W102" s="377"/>
      <c r="X102" s="358"/>
      <c r="Y102" s="351"/>
      <c r="Z102" s="252"/>
      <c r="AA102" s="252"/>
    </row>
    <row r="103" spans="2:27" x14ac:dyDescent="0.25">
      <c r="D103" s="392"/>
      <c r="E103" s="370"/>
      <c r="F103" s="370"/>
      <c r="G103" s="347"/>
      <c r="H103" s="388"/>
      <c r="I103" s="252"/>
      <c r="J103" s="252"/>
      <c r="K103" s="347"/>
      <c r="L103" s="347"/>
      <c r="M103" s="252"/>
      <c r="N103" s="389"/>
      <c r="O103" s="393"/>
      <c r="P103" s="387"/>
      <c r="Q103" s="252"/>
      <c r="R103" s="252"/>
      <c r="S103" s="252"/>
      <c r="T103" s="252"/>
      <c r="U103" s="353"/>
      <c r="V103" s="377"/>
      <c r="W103" s="377"/>
      <c r="X103" s="358"/>
      <c r="Y103" s="351"/>
      <c r="Z103" s="252"/>
      <c r="AA103" s="252"/>
    </row>
    <row r="104" spans="2:27" ht="25.5" customHeight="1" x14ac:dyDescent="0.25">
      <c r="D104" s="394"/>
      <c r="E104" s="370"/>
      <c r="F104" s="370"/>
      <c r="G104" s="347"/>
      <c r="H104" s="388"/>
      <c r="I104" s="252"/>
      <c r="J104" s="252"/>
      <c r="K104" s="347"/>
      <c r="L104" s="347"/>
      <c r="M104" s="252"/>
      <c r="N104" s="389"/>
      <c r="O104" s="393"/>
      <c r="P104" s="387"/>
      <c r="Q104" s="252"/>
      <c r="R104" s="252"/>
      <c r="S104" s="252"/>
      <c r="T104" s="252"/>
      <c r="U104" s="353"/>
      <c r="V104" s="421"/>
      <c r="W104" s="421"/>
      <c r="X104" s="422"/>
      <c r="Y104" s="351"/>
      <c r="Z104" s="252"/>
      <c r="AA104" s="252"/>
    </row>
    <row r="105" spans="2:27" ht="25.5" customHeight="1" x14ac:dyDescent="0.25">
      <c r="D105" s="394"/>
      <c r="E105" s="370"/>
      <c r="F105" s="370"/>
      <c r="G105" s="347"/>
      <c r="H105" s="388"/>
      <c r="I105" s="252"/>
      <c r="J105" s="252"/>
      <c r="K105" s="347"/>
      <c r="L105" s="347"/>
      <c r="M105" s="252"/>
      <c r="N105" s="389"/>
      <c r="O105" s="393"/>
      <c r="P105" s="387"/>
      <c r="Q105" s="252"/>
      <c r="R105" s="252"/>
      <c r="S105" s="252"/>
      <c r="T105" s="252"/>
      <c r="U105" s="353"/>
      <c r="V105" s="423"/>
      <c r="W105" s="423"/>
      <c r="X105" s="422"/>
      <c r="Y105" s="252"/>
      <c r="Z105" s="252"/>
      <c r="AA105" s="252"/>
    </row>
    <row r="106" spans="2:27" ht="16.5" customHeight="1" x14ac:dyDescent="0.25">
      <c r="D106" s="394"/>
      <c r="E106" s="370"/>
      <c r="F106" s="370"/>
      <c r="G106" s="347"/>
      <c r="H106" s="388"/>
      <c r="I106" s="252"/>
      <c r="J106" s="252"/>
      <c r="K106" s="347"/>
      <c r="L106" s="347"/>
      <c r="M106" s="252"/>
      <c r="N106" s="389"/>
      <c r="O106" s="393"/>
      <c r="P106" s="387"/>
      <c r="Q106" s="252"/>
      <c r="R106" s="252"/>
      <c r="S106" s="252"/>
      <c r="T106" s="252"/>
      <c r="U106" s="404"/>
      <c r="V106" s="425"/>
      <c r="W106" s="425"/>
      <c r="X106" s="422"/>
      <c r="Y106" s="252"/>
      <c r="Z106" s="252"/>
      <c r="AA106" s="252"/>
    </row>
    <row r="107" spans="2:27" x14ac:dyDescent="0.25">
      <c r="D107" s="376"/>
      <c r="E107" s="347"/>
      <c r="F107" s="347"/>
      <c r="G107" s="347"/>
      <c r="H107" s="388"/>
      <c r="I107" s="344"/>
      <c r="J107" s="252"/>
      <c r="K107" s="347"/>
      <c r="L107" s="347"/>
      <c r="M107" s="387"/>
      <c r="N107" s="389"/>
      <c r="O107" s="393"/>
      <c r="P107" s="387"/>
      <c r="Q107" s="252"/>
      <c r="R107" s="252"/>
      <c r="S107" s="252"/>
      <c r="T107" s="252"/>
      <c r="U107" s="404"/>
      <c r="V107" s="425"/>
      <c r="W107" s="425"/>
      <c r="X107" s="426"/>
      <c r="Y107" s="252"/>
      <c r="Z107" s="252"/>
      <c r="AA107" s="252"/>
    </row>
    <row r="108" spans="2:27" x14ac:dyDescent="0.25">
      <c r="D108" s="376"/>
      <c r="E108" s="347"/>
      <c r="F108" s="347"/>
      <c r="G108" s="347"/>
      <c r="H108" s="388"/>
      <c r="I108" s="344"/>
      <c r="J108" s="252"/>
      <c r="K108" s="347"/>
      <c r="L108" s="347"/>
      <c r="M108" s="387"/>
      <c r="N108" s="389"/>
      <c r="O108" s="393"/>
      <c r="P108" s="387"/>
      <c r="Q108" s="252"/>
      <c r="R108" s="252"/>
      <c r="S108" s="252"/>
      <c r="T108" s="252"/>
      <c r="U108" s="404"/>
      <c r="V108" s="427"/>
      <c r="W108" s="427"/>
      <c r="X108" s="426"/>
      <c r="Y108" s="252"/>
      <c r="Z108" s="252"/>
      <c r="AA108" s="252"/>
    </row>
    <row r="109" spans="2:27" x14ac:dyDescent="0.25">
      <c r="D109" s="376"/>
      <c r="E109" s="347"/>
      <c r="F109" s="347"/>
      <c r="G109" s="347"/>
      <c r="H109" s="388"/>
      <c r="I109" s="344"/>
      <c r="J109" s="252"/>
      <c r="K109" s="347"/>
      <c r="L109" s="347"/>
      <c r="M109" s="387"/>
      <c r="N109" s="389"/>
      <c r="O109" s="393"/>
      <c r="P109" s="387"/>
      <c r="Q109" s="252"/>
      <c r="R109" s="252"/>
      <c r="S109" s="252"/>
      <c r="T109" s="252"/>
      <c r="U109" s="404"/>
      <c r="V109" s="425"/>
      <c r="W109" s="425"/>
      <c r="X109" s="426"/>
      <c r="Y109" s="252"/>
      <c r="Z109" s="252"/>
      <c r="AA109" s="252"/>
    </row>
    <row r="110" spans="2:27" x14ac:dyDescent="0.25">
      <c r="D110" s="376"/>
      <c r="E110" s="347"/>
      <c r="F110" s="347"/>
      <c r="G110" s="347"/>
      <c r="H110" s="388"/>
      <c r="I110" s="344"/>
      <c r="J110" s="252"/>
      <c r="K110" s="347"/>
      <c r="L110" s="347"/>
      <c r="M110" s="387"/>
      <c r="N110" s="389"/>
      <c r="O110" s="393"/>
      <c r="P110" s="387"/>
      <c r="Q110" s="252"/>
      <c r="R110" s="252"/>
      <c r="S110" s="252"/>
      <c r="T110" s="252"/>
      <c r="U110" s="344"/>
      <c r="V110" s="377"/>
      <c r="W110" s="377"/>
      <c r="X110" s="358"/>
      <c r="Y110" s="252"/>
      <c r="Z110" s="252"/>
      <c r="AA110" s="252"/>
    </row>
    <row r="111" spans="2:27" x14ac:dyDescent="0.25">
      <c r="D111" s="376"/>
      <c r="E111" s="347"/>
      <c r="F111" s="347"/>
      <c r="G111" s="347"/>
      <c r="H111" s="388"/>
      <c r="I111" s="344"/>
      <c r="J111" s="252"/>
      <c r="K111" s="347"/>
      <c r="L111" s="347"/>
      <c r="M111" s="387"/>
      <c r="N111" s="389"/>
      <c r="O111" s="393"/>
      <c r="P111" s="387"/>
      <c r="Q111" s="252"/>
      <c r="R111" s="252"/>
      <c r="S111" s="252"/>
      <c r="T111" s="252"/>
      <c r="U111" s="344"/>
      <c r="V111" s="377"/>
      <c r="W111" s="377"/>
      <c r="X111" s="358"/>
      <c r="Y111" s="252"/>
      <c r="Z111" s="252"/>
      <c r="AA111" s="252"/>
    </row>
    <row r="112" spans="2:27" x14ac:dyDescent="0.25">
      <c r="D112" s="395"/>
      <c r="E112" s="396"/>
      <c r="F112" s="396"/>
      <c r="G112" s="396"/>
      <c r="H112" s="396"/>
      <c r="I112" s="252"/>
      <c r="J112" s="252"/>
      <c r="K112" s="351"/>
      <c r="L112" s="252"/>
      <c r="M112" s="252"/>
      <c r="N112" s="376"/>
      <c r="O112" s="393"/>
      <c r="P112" s="387"/>
      <c r="Q112" s="252"/>
      <c r="R112" s="252"/>
      <c r="S112" s="252"/>
      <c r="T112" s="252"/>
      <c r="U112" s="344"/>
      <c r="V112" s="377"/>
      <c r="W112" s="377"/>
      <c r="X112" s="358"/>
      <c r="Y112" s="252"/>
      <c r="Z112" s="252"/>
      <c r="AA112" s="252"/>
    </row>
    <row r="113" spans="2:27" x14ac:dyDescent="0.25">
      <c r="D113" s="395"/>
      <c r="E113" s="396"/>
      <c r="F113" s="396"/>
      <c r="G113" s="396"/>
      <c r="H113" s="396"/>
      <c r="I113" s="252"/>
      <c r="J113" s="252"/>
      <c r="K113" s="351"/>
      <c r="L113" s="252"/>
      <c r="M113" s="252"/>
      <c r="N113" s="376"/>
      <c r="O113" s="393"/>
      <c r="P113" s="387"/>
      <c r="Q113" s="252"/>
      <c r="R113" s="252"/>
      <c r="S113" s="252"/>
      <c r="T113" s="252"/>
      <c r="U113" s="344"/>
      <c r="V113" s="387"/>
      <c r="W113" s="387"/>
      <c r="X113" s="428"/>
      <c r="Y113" s="252"/>
      <c r="Z113" s="252"/>
      <c r="AA113" s="252"/>
    </row>
    <row r="114" spans="2:27" x14ac:dyDescent="0.25">
      <c r="D114" s="395"/>
      <c r="E114" s="396"/>
      <c r="F114" s="396"/>
      <c r="G114" s="396"/>
      <c r="H114" s="396"/>
      <c r="I114" s="252"/>
      <c r="J114" s="252"/>
      <c r="K114" s="252"/>
      <c r="L114" s="252"/>
      <c r="M114" s="252"/>
      <c r="N114" s="376"/>
      <c r="O114" s="393"/>
      <c r="P114" s="387"/>
      <c r="Q114" s="252"/>
      <c r="R114" s="252"/>
      <c r="S114" s="252"/>
      <c r="T114" s="252"/>
      <c r="U114" s="252"/>
      <c r="V114" s="421"/>
      <c r="W114" s="421"/>
      <c r="X114" s="422"/>
      <c r="Y114" s="252"/>
      <c r="Z114" s="252"/>
      <c r="AA114" s="252"/>
    </row>
    <row r="115" spans="2:27" x14ac:dyDescent="0.25">
      <c r="D115" s="358"/>
      <c r="E115" s="396"/>
      <c r="F115" s="380"/>
      <c r="G115" s="380"/>
      <c r="H115" s="380"/>
      <c r="I115" s="252"/>
      <c r="J115" s="252"/>
      <c r="K115" s="252"/>
      <c r="L115" s="252"/>
      <c r="M115" s="252"/>
      <c r="N115" s="252"/>
      <c r="O115" s="397"/>
      <c r="P115" s="370"/>
      <c r="Q115" s="252"/>
      <c r="R115" s="252"/>
      <c r="S115" s="252"/>
      <c r="T115" s="252"/>
      <c r="U115" s="354"/>
      <c r="V115" s="391"/>
      <c r="W115" s="391"/>
      <c r="X115" s="429"/>
      <c r="Y115" s="252"/>
      <c r="Z115" s="252"/>
      <c r="AA115" s="252"/>
    </row>
    <row r="116" spans="2:27" x14ac:dyDescent="0.25">
      <c r="D116" s="376"/>
      <c r="E116" s="375"/>
      <c r="F116" s="398"/>
      <c r="G116" s="375"/>
      <c r="H116" s="375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</row>
    <row r="117" spans="2:27" x14ac:dyDescent="0.25">
      <c r="D117" s="360"/>
      <c r="E117" s="347"/>
      <c r="F117" s="370"/>
      <c r="G117" s="370"/>
      <c r="H117" s="399"/>
      <c r="I117" s="252"/>
      <c r="J117" s="252"/>
      <c r="K117" s="344"/>
      <c r="L117" s="252"/>
      <c r="M117" s="391"/>
      <c r="N117" s="252"/>
      <c r="O117" s="252"/>
      <c r="P117" s="252"/>
      <c r="Q117" s="252"/>
      <c r="R117" s="252"/>
      <c r="S117" s="252"/>
      <c r="T117" s="252"/>
      <c r="U117" s="252"/>
      <c r="V117" s="252"/>
      <c r="W117" s="351"/>
      <c r="X117" s="252"/>
      <c r="Y117" s="252"/>
      <c r="Z117" s="252"/>
      <c r="AA117" s="252"/>
    </row>
    <row r="118" spans="2:27" x14ac:dyDescent="0.25">
      <c r="D118" s="390"/>
      <c r="E118" s="370"/>
      <c r="F118" s="370"/>
      <c r="G118" s="370"/>
      <c r="H118" s="388"/>
      <c r="I118" s="252"/>
      <c r="J118" s="252"/>
      <c r="K118" s="252"/>
      <c r="L118" s="252"/>
      <c r="M118" s="387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</row>
    <row r="119" spans="2:27" x14ac:dyDescent="0.25">
      <c r="D119" s="390"/>
      <c r="E119" s="370"/>
      <c r="F119" s="370"/>
      <c r="G119" s="370"/>
      <c r="H119" s="388"/>
      <c r="I119" s="252"/>
      <c r="J119" s="252"/>
      <c r="K119" s="252"/>
      <c r="L119" s="252"/>
      <c r="M119" s="387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</row>
    <row r="120" spans="2:27" x14ac:dyDescent="0.25">
      <c r="D120" s="392"/>
      <c r="E120" s="370"/>
      <c r="F120" s="370"/>
      <c r="G120" s="370"/>
      <c r="H120" s="388"/>
      <c r="I120" s="252"/>
      <c r="J120" s="252"/>
      <c r="K120" s="252"/>
      <c r="L120" s="252"/>
      <c r="M120" s="372"/>
      <c r="N120" s="344"/>
      <c r="O120" s="252"/>
      <c r="P120" s="252"/>
      <c r="Q120" s="252"/>
      <c r="R120" s="252"/>
      <c r="S120" s="252"/>
      <c r="T120" s="252"/>
      <c r="U120" s="344"/>
      <c r="V120" s="419"/>
      <c r="W120" s="419"/>
      <c r="X120" s="252"/>
      <c r="Y120" s="252"/>
      <c r="Z120" s="252"/>
      <c r="AA120" s="252"/>
    </row>
    <row r="121" spans="2:27" x14ac:dyDescent="0.25">
      <c r="D121" s="386"/>
      <c r="E121" s="347"/>
      <c r="F121" s="347"/>
      <c r="G121" s="347"/>
      <c r="H121" s="388"/>
      <c r="I121" s="344"/>
      <c r="J121" s="252"/>
      <c r="K121" s="344"/>
      <c r="L121" s="344"/>
      <c r="M121" s="391"/>
      <c r="N121" s="252"/>
      <c r="O121" s="252"/>
      <c r="P121" s="252"/>
      <c r="Q121" s="252"/>
      <c r="R121" s="252"/>
      <c r="S121" s="252"/>
      <c r="T121" s="252"/>
      <c r="U121" s="353"/>
      <c r="V121" s="377"/>
      <c r="W121" s="377"/>
      <c r="X121" s="252"/>
      <c r="Y121" s="252"/>
      <c r="Z121" s="252"/>
      <c r="AA121" s="252"/>
    </row>
    <row r="122" spans="2:27" x14ac:dyDescent="0.25">
      <c r="D122" s="402"/>
      <c r="E122" s="347"/>
      <c r="F122" s="347"/>
      <c r="G122" s="347"/>
      <c r="H122" s="403"/>
      <c r="I122" s="344"/>
      <c r="J122" s="252"/>
      <c r="K122" s="252"/>
      <c r="L122" s="252"/>
      <c r="M122" s="387"/>
      <c r="N122" s="252"/>
      <c r="O122" s="252"/>
      <c r="P122" s="252"/>
      <c r="Q122" s="252"/>
      <c r="R122" s="252"/>
      <c r="S122" s="252"/>
      <c r="T122" s="252"/>
      <c r="U122" s="353"/>
      <c r="V122" s="377"/>
      <c r="W122" s="377"/>
      <c r="X122" s="252"/>
      <c r="Y122" s="252"/>
      <c r="Z122" s="252"/>
      <c r="AA122" s="252"/>
    </row>
    <row r="123" spans="2:27" x14ac:dyDescent="0.25">
      <c r="D123" s="252"/>
      <c r="E123" s="252"/>
      <c r="F123" s="252"/>
      <c r="G123" s="252"/>
      <c r="H123" s="252"/>
      <c r="I123" s="252"/>
      <c r="J123" s="252"/>
      <c r="K123" s="252"/>
      <c r="L123" s="252"/>
      <c r="M123" s="387"/>
      <c r="N123" s="344"/>
      <c r="O123" s="252"/>
      <c r="P123" s="252"/>
      <c r="Q123" s="252"/>
      <c r="R123" s="252"/>
      <c r="S123" s="252"/>
      <c r="T123" s="252"/>
      <c r="U123" s="353"/>
      <c r="V123" s="421"/>
      <c r="W123" s="421"/>
      <c r="X123" s="252"/>
      <c r="Y123" s="252"/>
      <c r="Z123" s="252"/>
      <c r="AA123" s="252"/>
    </row>
    <row r="124" spans="2:27" x14ac:dyDescent="0.25">
      <c r="B124" s="26"/>
      <c r="D124" s="360"/>
      <c r="E124" s="344"/>
      <c r="F124" s="383"/>
      <c r="G124" s="352"/>
      <c r="H124" s="252"/>
      <c r="I124" s="252"/>
      <c r="J124" s="252"/>
      <c r="K124" s="252"/>
      <c r="L124" s="252"/>
      <c r="M124" s="252"/>
      <c r="N124" s="344"/>
      <c r="O124" s="252"/>
      <c r="P124" s="252"/>
      <c r="Q124" s="252"/>
      <c r="R124" s="252"/>
      <c r="S124" s="252"/>
      <c r="T124" s="252"/>
      <c r="U124" s="353"/>
      <c r="V124" s="423"/>
      <c r="W124" s="423"/>
      <c r="X124" s="252"/>
      <c r="Y124" s="252"/>
      <c r="Z124" s="252"/>
      <c r="AA124" s="252"/>
    </row>
    <row r="125" spans="2:27" x14ac:dyDescent="0.25">
      <c r="D125" s="390"/>
      <c r="E125" s="344"/>
      <c r="F125" s="383"/>
      <c r="G125" s="352"/>
      <c r="H125" s="252"/>
      <c r="I125" s="252"/>
      <c r="J125" s="252"/>
      <c r="K125" s="252"/>
      <c r="L125" s="252"/>
      <c r="M125" s="347"/>
      <c r="N125" s="252"/>
      <c r="O125" s="252"/>
      <c r="P125" s="252"/>
      <c r="Q125" s="252"/>
      <c r="R125" s="252"/>
      <c r="S125" s="252"/>
      <c r="T125" s="252"/>
      <c r="U125" s="404"/>
      <c r="V125" s="425"/>
      <c r="W125" s="425"/>
      <c r="X125" s="252"/>
      <c r="Y125" s="252"/>
      <c r="Z125" s="252"/>
      <c r="AA125" s="252"/>
    </row>
    <row r="126" spans="2:27" x14ac:dyDescent="0.25">
      <c r="D126" s="252"/>
      <c r="E126" s="404"/>
      <c r="F126" s="405"/>
      <c r="G126" s="252"/>
      <c r="H126" s="252"/>
      <c r="I126" s="351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404"/>
      <c r="V126" s="425"/>
      <c r="W126" s="425"/>
      <c r="X126" s="252"/>
      <c r="Y126" s="252"/>
      <c r="Z126" s="252"/>
      <c r="AA126" s="252"/>
    </row>
    <row r="127" spans="2:27" x14ac:dyDescent="0.25">
      <c r="U127" s="404"/>
      <c r="V127" s="427"/>
      <c r="W127" s="427"/>
      <c r="X127" s="252"/>
      <c r="Y127" s="252"/>
      <c r="Z127" s="252"/>
      <c r="AA127" s="252"/>
    </row>
    <row r="128" spans="2:27" x14ac:dyDescent="0.25">
      <c r="F128" s="331"/>
      <c r="U128" s="404"/>
      <c r="V128" s="425"/>
      <c r="W128" s="425"/>
      <c r="X128" s="252"/>
      <c r="Y128" s="252"/>
      <c r="Z128" s="252"/>
      <c r="AA128" s="252"/>
    </row>
    <row r="129" spans="3:27" x14ac:dyDescent="0.25">
      <c r="C129" s="26"/>
      <c r="F129" s="20"/>
      <c r="U129" s="344"/>
      <c r="V129" s="377"/>
      <c r="W129" s="377"/>
      <c r="X129" s="252"/>
      <c r="Y129" s="252"/>
      <c r="Z129" s="252"/>
      <c r="AA129" s="252"/>
    </row>
    <row r="130" spans="3:27" x14ac:dyDescent="0.25">
      <c r="C130" s="26"/>
      <c r="F130" s="208"/>
      <c r="U130" s="344"/>
      <c r="V130" s="377"/>
      <c r="W130" s="377"/>
      <c r="X130" s="252"/>
      <c r="Y130" s="252"/>
      <c r="Z130" s="252"/>
      <c r="AA130" s="252"/>
    </row>
    <row r="131" spans="3:27" x14ac:dyDescent="0.25">
      <c r="U131" s="344"/>
      <c r="V131" s="377"/>
      <c r="W131" s="377"/>
      <c r="X131" s="252"/>
      <c r="Y131" s="252"/>
      <c r="Z131" s="252"/>
      <c r="AA131" s="252"/>
    </row>
    <row r="132" spans="3:27" x14ac:dyDescent="0.25">
      <c r="U132" s="344"/>
      <c r="V132" s="387"/>
      <c r="W132" s="387"/>
      <c r="X132" s="252"/>
      <c r="Y132" s="252"/>
      <c r="Z132" s="252"/>
      <c r="AA132" s="252"/>
    </row>
    <row r="133" spans="3:27" x14ac:dyDescent="0.25">
      <c r="U133" s="252"/>
      <c r="V133" s="421"/>
      <c r="W133" s="421"/>
      <c r="X133" s="252"/>
      <c r="Y133" s="252"/>
      <c r="Z133" s="252"/>
      <c r="AA133" s="252"/>
    </row>
    <row r="134" spans="3:27" x14ac:dyDescent="0.25">
      <c r="U134" s="354"/>
      <c r="V134" s="391"/>
      <c r="W134" s="391"/>
      <c r="X134" s="252"/>
      <c r="Y134" s="252"/>
      <c r="Z134" s="252"/>
      <c r="AA134" s="252"/>
    </row>
    <row r="135" spans="3:27" x14ac:dyDescent="0.25">
      <c r="U135" s="252"/>
      <c r="V135" s="252"/>
      <c r="W135" s="252"/>
      <c r="X135" s="252"/>
      <c r="Y135" s="252"/>
      <c r="Z135" s="252"/>
      <c r="AA135" s="252"/>
    </row>
    <row r="136" spans="3:27" x14ac:dyDescent="0.25">
      <c r="U136" s="252"/>
      <c r="V136" s="252"/>
      <c r="W136" s="252"/>
      <c r="X136" s="252"/>
      <c r="Y136" s="252"/>
      <c r="Z136" s="252"/>
      <c r="AA136" s="252"/>
    </row>
    <row r="137" spans="3:27" x14ac:dyDescent="0.25">
      <c r="U137" s="252"/>
      <c r="V137" s="252"/>
      <c r="W137" s="252"/>
      <c r="X137" s="252"/>
      <c r="Y137" s="252"/>
      <c r="Z137" s="252"/>
      <c r="AA137" s="252"/>
    </row>
    <row r="138" spans="3:27" x14ac:dyDescent="0.25">
      <c r="U138" s="252"/>
      <c r="V138" s="252"/>
      <c r="W138" s="252"/>
      <c r="X138" s="252"/>
      <c r="Y138" s="252"/>
      <c r="Z138" s="252"/>
      <c r="AA138" s="252"/>
    </row>
    <row r="139" spans="3:27" x14ac:dyDescent="0.25">
      <c r="U139" s="252"/>
      <c r="V139" s="252"/>
      <c r="W139" s="252"/>
      <c r="X139" s="252"/>
      <c r="Y139" s="252"/>
      <c r="Z139" s="252"/>
      <c r="AA139" s="252"/>
    </row>
    <row r="140" spans="3:27" x14ac:dyDescent="0.25">
      <c r="U140" s="252"/>
      <c r="V140" s="252"/>
      <c r="W140" s="252"/>
      <c r="X140" s="252"/>
      <c r="Y140" s="252"/>
      <c r="Z140" s="252"/>
      <c r="AA140" s="252"/>
    </row>
    <row r="141" spans="3:27" x14ac:dyDescent="0.25">
      <c r="U141" s="252"/>
      <c r="V141" s="252"/>
      <c r="W141" s="252"/>
      <c r="X141" s="252"/>
      <c r="Y141" s="252"/>
      <c r="Z141" s="252"/>
      <c r="AA141" s="252"/>
    </row>
    <row r="142" spans="3:27" x14ac:dyDescent="0.25">
      <c r="U142" s="252"/>
      <c r="V142" s="252"/>
      <c r="W142" s="252"/>
      <c r="X142" s="252"/>
      <c r="Y142" s="252"/>
      <c r="Z142" s="252"/>
      <c r="AA142" s="252"/>
    </row>
    <row r="143" spans="3:27" x14ac:dyDescent="0.25">
      <c r="U143" s="252"/>
      <c r="V143" s="252"/>
      <c r="W143" s="252"/>
      <c r="X143" s="252"/>
      <c r="Y143" s="252"/>
      <c r="Z143" s="252"/>
      <c r="AA143" s="252"/>
    </row>
    <row r="144" spans="3:27" x14ac:dyDescent="0.25">
      <c r="U144" s="252"/>
      <c r="V144" s="252"/>
      <c r="W144" s="252"/>
      <c r="X144" s="252"/>
      <c r="Y144" s="252"/>
      <c r="Z144" s="252"/>
      <c r="AA144" s="252"/>
    </row>
    <row r="145" spans="21:27" x14ac:dyDescent="0.25">
      <c r="U145" s="252"/>
      <c r="V145" s="252"/>
      <c r="W145" s="252"/>
      <c r="X145" s="252"/>
      <c r="Y145" s="252"/>
      <c r="Z145" s="252"/>
      <c r="AA145" s="252"/>
    </row>
    <row r="146" spans="21:27" x14ac:dyDescent="0.25">
      <c r="U146" s="252"/>
      <c r="V146" s="252"/>
      <c r="W146" s="252"/>
      <c r="X146" s="252"/>
      <c r="Y146" s="252"/>
      <c r="Z146" s="252"/>
      <c r="AA146" s="252"/>
    </row>
    <row r="147" spans="21:27" x14ac:dyDescent="0.25">
      <c r="U147" s="252"/>
      <c r="V147" s="252"/>
      <c r="W147" s="252"/>
      <c r="X147" s="252"/>
      <c r="Y147" s="252"/>
      <c r="Z147" s="252"/>
      <c r="AA147" s="252"/>
    </row>
    <row r="148" spans="21:27" x14ac:dyDescent="0.25">
      <c r="U148" s="252"/>
      <c r="V148" s="252"/>
      <c r="W148" s="252"/>
      <c r="X148" s="252"/>
      <c r="Y148" s="252"/>
      <c r="Z148" s="252"/>
      <c r="AA148" s="252"/>
    </row>
    <row r="149" spans="21:27" x14ac:dyDescent="0.25">
      <c r="U149" s="252"/>
      <c r="V149" s="252"/>
      <c r="W149" s="252"/>
      <c r="X149" s="252"/>
      <c r="Y149" s="252"/>
      <c r="Z149" s="252"/>
      <c r="AA149" s="252"/>
    </row>
    <row r="150" spans="21:27" x14ac:dyDescent="0.25">
      <c r="U150" s="252"/>
      <c r="V150" s="252"/>
      <c r="W150" s="252"/>
      <c r="X150" s="252"/>
      <c r="Y150" s="252"/>
      <c r="Z150" s="252"/>
      <c r="AA150" s="252"/>
    </row>
    <row r="151" spans="21:27" x14ac:dyDescent="0.25">
      <c r="U151" s="252"/>
      <c r="V151" s="252"/>
      <c r="W151" s="252"/>
      <c r="X151" s="252"/>
      <c r="Y151" s="252"/>
      <c r="Z151" s="252"/>
      <c r="AA151" s="252"/>
    </row>
    <row r="152" spans="21:27" x14ac:dyDescent="0.25">
      <c r="U152" s="252"/>
      <c r="V152" s="252"/>
      <c r="W152" s="252"/>
      <c r="X152" s="252"/>
      <c r="Y152" s="252"/>
      <c r="Z152" s="252"/>
      <c r="AA152" s="252"/>
    </row>
    <row r="153" spans="21:27" x14ac:dyDescent="0.25">
      <c r="U153" s="252"/>
      <c r="V153" s="252"/>
      <c r="W153" s="252"/>
      <c r="X153" s="252"/>
      <c r="Y153" s="252"/>
      <c r="Z153" s="252"/>
      <c r="AA153" s="252"/>
    </row>
    <row r="154" spans="21:27" x14ac:dyDescent="0.25">
      <c r="U154" s="252"/>
      <c r="V154" s="252"/>
      <c r="W154" s="252"/>
      <c r="X154" s="252"/>
      <c r="Y154" s="252"/>
      <c r="Z154" s="252"/>
      <c r="AA154" s="252"/>
    </row>
    <row r="155" spans="21:27" x14ac:dyDescent="0.25">
      <c r="U155" s="252"/>
      <c r="V155" s="252"/>
      <c r="W155" s="252"/>
      <c r="X155" s="252"/>
      <c r="Y155" s="252"/>
      <c r="Z155" s="252"/>
      <c r="AA155" s="252"/>
    </row>
    <row r="156" spans="21:27" x14ac:dyDescent="0.25">
      <c r="U156" s="252"/>
      <c r="V156" s="252"/>
      <c r="W156" s="252"/>
      <c r="X156" s="252"/>
      <c r="Y156" s="252"/>
      <c r="Z156" s="252"/>
      <c r="AA156" s="252"/>
    </row>
    <row r="157" spans="21:27" x14ac:dyDescent="0.25">
      <c r="U157" s="252"/>
      <c r="V157" s="252"/>
      <c r="W157" s="252"/>
      <c r="X157" s="252"/>
      <c r="Y157" s="252"/>
      <c r="Z157" s="252"/>
      <c r="AA157" s="252"/>
    </row>
    <row r="158" spans="21:27" x14ac:dyDescent="0.25">
      <c r="U158" s="252"/>
      <c r="V158" s="252"/>
      <c r="W158" s="252"/>
      <c r="X158" s="252"/>
      <c r="Y158" s="252"/>
      <c r="Z158" s="252"/>
      <c r="AA158" s="252"/>
    </row>
    <row r="159" spans="21:27" x14ac:dyDescent="0.25">
      <c r="U159" s="252"/>
      <c r="V159" s="252"/>
      <c r="W159" s="252"/>
      <c r="X159" s="252"/>
      <c r="Y159" s="252"/>
      <c r="Z159" s="252"/>
      <c r="AA159" s="252"/>
    </row>
    <row r="160" spans="21:27" x14ac:dyDescent="0.25">
      <c r="U160" s="252"/>
      <c r="V160" s="252"/>
      <c r="W160" s="252"/>
      <c r="X160" s="252"/>
      <c r="Y160" s="252"/>
      <c r="Z160" s="252"/>
      <c r="AA160" s="252"/>
    </row>
    <row r="161" spans="21:27" x14ac:dyDescent="0.25">
      <c r="U161" s="252"/>
      <c r="V161" s="252"/>
      <c r="W161" s="252"/>
      <c r="X161" s="252"/>
      <c r="Y161" s="252"/>
      <c r="Z161" s="252"/>
      <c r="AA161" s="252"/>
    </row>
    <row r="162" spans="21:27" x14ac:dyDescent="0.25">
      <c r="U162" s="252"/>
      <c r="V162" s="252"/>
      <c r="W162" s="252"/>
      <c r="X162" s="252"/>
      <c r="Y162" s="252"/>
      <c r="Z162" s="252"/>
      <c r="AA162" s="252"/>
    </row>
    <row r="163" spans="21:27" x14ac:dyDescent="0.25">
      <c r="U163" s="252"/>
      <c r="V163" s="252"/>
      <c r="W163" s="252"/>
      <c r="X163" s="252"/>
      <c r="Y163" s="252"/>
      <c r="Z163" s="252"/>
      <c r="AA163" s="252"/>
    </row>
    <row r="164" spans="21:27" x14ac:dyDescent="0.25">
      <c r="U164" s="252"/>
      <c r="V164" s="252"/>
      <c r="W164" s="252"/>
      <c r="X164" s="252"/>
      <c r="Y164" s="252"/>
      <c r="Z164" s="252"/>
      <c r="AA164" s="252"/>
    </row>
    <row r="165" spans="21:27" x14ac:dyDescent="0.25">
      <c r="U165" s="252"/>
      <c r="V165" s="252"/>
      <c r="W165" s="252"/>
      <c r="X165" s="252"/>
      <c r="Y165" s="252"/>
      <c r="Z165" s="252"/>
      <c r="AA165" s="252"/>
    </row>
    <row r="166" spans="21:27" x14ac:dyDescent="0.25">
      <c r="U166" s="252"/>
      <c r="V166" s="252"/>
      <c r="W166" s="252"/>
      <c r="X166" s="252"/>
      <c r="Y166" s="252"/>
      <c r="Z166" s="252"/>
      <c r="AA166" s="252"/>
    </row>
    <row r="167" spans="21:27" x14ac:dyDescent="0.25">
      <c r="U167" s="252"/>
      <c r="V167" s="252"/>
      <c r="W167" s="252"/>
      <c r="X167" s="252"/>
      <c r="Y167" s="252"/>
      <c r="Z167" s="252"/>
      <c r="AA167" s="252"/>
    </row>
    <row r="168" spans="21:27" x14ac:dyDescent="0.25">
      <c r="U168" s="252"/>
      <c r="V168" s="252"/>
      <c r="W168" s="252"/>
      <c r="X168" s="252"/>
      <c r="Y168" s="252"/>
      <c r="Z168" s="252"/>
      <c r="AA168" s="252"/>
    </row>
    <row r="169" spans="21:27" x14ac:dyDescent="0.25">
      <c r="U169" s="252"/>
      <c r="V169" s="252"/>
      <c r="W169" s="252"/>
      <c r="X169" s="252"/>
      <c r="Y169" s="252"/>
      <c r="Z169" s="252"/>
      <c r="AA169" s="252"/>
    </row>
    <row r="170" spans="21:27" x14ac:dyDescent="0.25">
      <c r="U170" s="252"/>
      <c r="V170" s="252"/>
      <c r="W170" s="252"/>
      <c r="X170" s="252"/>
      <c r="Y170" s="252"/>
      <c r="Z170" s="252"/>
      <c r="AA170" s="252"/>
    </row>
    <row r="171" spans="21:27" x14ac:dyDescent="0.25">
      <c r="U171" s="252"/>
      <c r="V171" s="252"/>
      <c r="W171" s="252"/>
      <c r="X171" s="252"/>
      <c r="Y171" s="252"/>
      <c r="Z171" s="252"/>
      <c r="AA171" s="252"/>
    </row>
    <row r="172" spans="21:27" x14ac:dyDescent="0.25">
      <c r="U172" s="252"/>
      <c r="V172" s="252"/>
      <c r="W172" s="252"/>
      <c r="X172" s="252"/>
      <c r="Y172" s="252"/>
      <c r="Z172" s="252"/>
      <c r="AA172" s="252"/>
    </row>
    <row r="173" spans="21:27" x14ac:dyDescent="0.25">
      <c r="U173" s="252"/>
      <c r="V173" s="252"/>
      <c r="W173" s="252"/>
      <c r="X173" s="252"/>
      <c r="Y173" s="252"/>
      <c r="Z173" s="252"/>
      <c r="AA173" s="252"/>
    </row>
    <row r="174" spans="21:27" x14ac:dyDescent="0.25">
      <c r="U174" s="252"/>
      <c r="V174" s="252"/>
      <c r="W174" s="252"/>
      <c r="X174" s="252"/>
      <c r="Y174" s="252"/>
      <c r="Z174" s="252"/>
      <c r="AA174" s="252"/>
    </row>
    <row r="175" spans="21:27" x14ac:dyDescent="0.25">
      <c r="U175" s="252"/>
      <c r="V175" s="252"/>
      <c r="W175" s="252"/>
      <c r="X175" s="252"/>
      <c r="Y175" s="252"/>
      <c r="Z175" s="252"/>
      <c r="AA175" s="252"/>
    </row>
    <row r="176" spans="21:27" x14ac:dyDescent="0.25">
      <c r="U176" s="252"/>
      <c r="V176" s="252"/>
      <c r="W176" s="252"/>
      <c r="X176" s="252"/>
      <c r="Y176" s="252"/>
      <c r="Z176" s="252"/>
      <c r="AA176" s="252"/>
    </row>
    <row r="177" spans="21:27" x14ac:dyDescent="0.25">
      <c r="U177" s="252"/>
      <c r="V177" s="252"/>
      <c r="W177" s="252"/>
      <c r="X177" s="252"/>
      <c r="Y177" s="252"/>
      <c r="Z177" s="252"/>
      <c r="AA177" s="252"/>
    </row>
    <row r="178" spans="21:27" x14ac:dyDescent="0.25">
      <c r="U178" s="252"/>
      <c r="V178" s="252"/>
      <c r="W178" s="252"/>
      <c r="X178" s="252"/>
      <c r="Y178" s="252"/>
      <c r="Z178" s="252"/>
      <c r="AA178" s="252"/>
    </row>
    <row r="179" spans="21:27" x14ac:dyDescent="0.25">
      <c r="U179" s="252"/>
      <c r="V179" s="252"/>
      <c r="W179" s="252"/>
      <c r="X179" s="252"/>
      <c r="Y179" s="252"/>
      <c r="Z179" s="252"/>
      <c r="AA179" s="252"/>
    </row>
    <row r="180" spans="21:27" x14ac:dyDescent="0.25">
      <c r="U180" s="252"/>
      <c r="V180" s="252"/>
      <c r="W180" s="252"/>
      <c r="X180" s="252"/>
      <c r="Y180" s="252"/>
      <c r="Z180" s="252"/>
      <c r="AA180" s="252"/>
    </row>
    <row r="181" spans="21:27" x14ac:dyDescent="0.25">
      <c r="U181" s="252"/>
      <c r="V181" s="252"/>
      <c r="W181" s="252"/>
      <c r="X181" s="252"/>
      <c r="Y181" s="252"/>
      <c r="Z181" s="252"/>
      <c r="AA181" s="252"/>
    </row>
    <row r="182" spans="21:27" x14ac:dyDescent="0.25">
      <c r="U182" s="252"/>
      <c r="V182" s="252"/>
      <c r="W182" s="252"/>
      <c r="X182" s="252"/>
      <c r="Y182" s="252"/>
      <c r="Z182" s="252"/>
      <c r="AA182" s="252"/>
    </row>
    <row r="183" spans="21:27" x14ac:dyDescent="0.25">
      <c r="U183" s="252"/>
      <c r="V183" s="252"/>
      <c r="W183" s="252"/>
      <c r="X183" s="252"/>
      <c r="Y183" s="252"/>
      <c r="Z183" s="252"/>
      <c r="AA183" s="252"/>
    </row>
    <row r="184" spans="21:27" x14ac:dyDescent="0.25">
      <c r="U184" s="252"/>
      <c r="V184" s="252"/>
      <c r="W184" s="252"/>
      <c r="X184" s="252"/>
      <c r="Y184" s="252"/>
      <c r="Z184" s="252"/>
      <c r="AA184" s="252"/>
    </row>
    <row r="185" spans="21:27" x14ac:dyDescent="0.25">
      <c r="U185" s="252"/>
      <c r="V185" s="252"/>
      <c r="W185" s="252"/>
      <c r="X185" s="252"/>
      <c r="Y185" s="252"/>
      <c r="Z185" s="252"/>
      <c r="AA185" s="252"/>
    </row>
    <row r="186" spans="21:27" x14ac:dyDescent="0.25">
      <c r="U186" s="252"/>
      <c r="V186" s="252"/>
      <c r="W186" s="252"/>
      <c r="X186" s="252"/>
      <c r="Y186" s="252"/>
      <c r="Z186" s="252"/>
      <c r="AA186" s="252"/>
    </row>
    <row r="187" spans="21:27" x14ac:dyDescent="0.25">
      <c r="U187" s="252"/>
      <c r="V187" s="252"/>
      <c r="W187" s="252"/>
      <c r="X187" s="252"/>
      <c r="Y187" s="252"/>
      <c r="Z187" s="252"/>
      <c r="AA187" s="252"/>
    </row>
    <row r="188" spans="21:27" x14ac:dyDescent="0.25">
      <c r="U188" s="252"/>
      <c r="V188" s="252"/>
      <c r="W188" s="252"/>
      <c r="X188" s="252"/>
      <c r="Y188" s="252"/>
      <c r="Z188" s="252"/>
      <c r="AA188" s="252"/>
    </row>
    <row r="189" spans="21:27" x14ac:dyDescent="0.25">
      <c r="U189" s="252"/>
      <c r="V189" s="252"/>
      <c r="W189" s="252"/>
      <c r="X189" s="252"/>
      <c r="Y189" s="252"/>
      <c r="Z189" s="252"/>
      <c r="AA189" s="252"/>
    </row>
    <row r="190" spans="21:27" x14ac:dyDescent="0.25">
      <c r="U190" s="252"/>
      <c r="V190" s="252"/>
      <c r="W190" s="252"/>
      <c r="X190" s="252"/>
      <c r="Y190" s="252"/>
      <c r="Z190" s="252"/>
      <c r="AA190" s="252"/>
    </row>
    <row r="191" spans="21:27" x14ac:dyDescent="0.25">
      <c r="U191" s="252"/>
      <c r="V191" s="252"/>
      <c r="W191" s="252"/>
      <c r="X191" s="252"/>
      <c r="Y191" s="252"/>
      <c r="Z191" s="252"/>
      <c r="AA191" s="252"/>
    </row>
    <row r="192" spans="21:27" x14ac:dyDescent="0.25">
      <c r="U192" s="252"/>
      <c r="V192" s="252"/>
      <c r="W192" s="252"/>
      <c r="X192" s="252"/>
      <c r="Y192" s="252"/>
      <c r="Z192" s="252"/>
      <c r="AA192" s="252"/>
    </row>
    <row r="193" spans="21:27" x14ac:dyDescent="0.25">
      <c r="U193" s="252"/>
      <c r="V193" s="252"/>
      <c r="W193" s="252"/>
      <c r="X193" s="252"/>
      <c r="Y193" s="252"/>
      <c r="Z193" s="252"/>
      <c r="AA193" s="252"/>
    </row>
    <row r="194" spans="21:27" x14ac:dyDescent="0.25">
      <c r="U194" s="252"/>
      <c r="V194" s="252"/>
      <c r="W194" s="252"/>
      <c r="X194" s="252"/>
      <c r="Y194" s="252"/>
      <c r="Z194" s="252"/>
      <c r="AA194" s="252"/>
    </row>
    <row r="195" spans="21:27" x14ac:dyDescent="0.25">
      <c r="U195" s="252"/>
      <c r="V195" s="252"/>
      <c r="W195" s="252"/>
      <c r="X195" s="252"/>
      <c r="Y195" s="252"/>
      <c r="Z195" s="252"/>
      <c r="AA195" s="252"/>
    </row>
    <row r="196" spans="21:27" x14ac:dyDescent="0.25">
      <c r="U196" s="252"/>
      <c r="V196" s="252"/>
      <c r="W196" s="252"/>
      <c r="X196" s="252"/>
      <c r="Y196" s="252"/>
      <c r="Z196" s="252"/>
      <c r="AA196" s="252"/>
    </row>
    <row r="197" spans="21:27" x14ac:dyDescent="0.25">
      <c r="U197" s="252"/>
      <c r="V197" s="252"/>
      <c r="W197" s="252"/>
      <c r="X197" s="252"/>
      <c r="Y197" s="252"/>
      <c r="Z197" s="252"/>
      <c r="AA197" s="252"/>
    </row>
    <row r="198" spans="21:27" x14ac:dyDescent="0.25">
      <c r="U198" s="252"/>
      <c r="V198" s="252"/>
      <c r="W198" s="252"/>
      <c r="X198" s="252"/>
      <c r="Y198" s="252"/>
      <c r="Z198" s="252"/>
      <c r="AA198" s="252"/>
    </row>
    <row r="199" spans="21:27" x14ac:dyDescent="0.25">
      <c r="U199" s="252"/>
      <c r="V199" s="252"/>
      <c r="W199" s="252"/>
      <c r="X199" s="252"/>
      <c r="Y199" s="252"/>
      <c r="Z199" s="252"/>
      <c r="AA199" s="252"/>
    </row>
    <row r="200" spans="21:27" x14ac:dyDescent="0.25">
      <c r="U200" s="252"/>
      <c r="V200" s="252"/>
      <c r="W200" s="252"/>
      <c r="X200" s="252"/>
      <c r="Y200" s="252"/>
      <c r="Z200" s="252"/>
      <c r="AA200" s="252"/>
    </row>
    <row r="201" spans="21:27" x14ac:dyDescent="0.25">
      <c r="U201" s="252"/>
      <c r="V201" s="252"/>
      <c r="W201" s="252"/>
      <c r="X201" s="252"/>
      <c r="Y201" s="252"/>
      <c r="Z201" s="252"/>
      <c r="AA201" s="252"/>
    </row>
    <row r="202" spans="21:27" x14ac:dyDescent="0.25">
      <c r="U202" s="252"/>
      <c r="V202" s="252"/>
      <c r="W202" s="252"/>
      <c r="X202" s="252"/>
      <c r="Y202" s="252"/>
      <c r="Z202" s="252"/>
      <c r="AA202" s="252"/>
    </row>
    <row r="203" spans="21:27" x14ac:dyDescent="0.25">
      <c r="U203" s="252"/>
      <c r="V203" s="252"/>
      <c r="W203" s="252"/>
      <c r="X203" s="252"/>
      <c r="Y203" s="252"/>
      <c r="Z203" s="252"/>
      <c r="AA203" s="252"/>
    </row>
    <row r="204" spans="21:27" x14ac:dyDescent="0.25">
      <c r="U204" s="252"/>
      <c r="V204" s="252"/>
      <c r="W204" s="252"/>
      <c r="X204" s="252"/>
      <c r="Y204" s="252"/>
      <c r="Z204" s="252"/>
      <c r="AA204" s="252"/>
    </row>
    <row r="205" spans="21:27" x14ac:dyDescent="0.25">
      <c r="U205" s="252"/>
      <c r="V205" s="252"/>
      <c r="W205" s="252"/>
      <c r="X205" s="252"/>
      <c r="Y205" s="252"/>
      <c r="Z205" s="252"/>
      <c r="AA205" s="252"/>
    </row>
    <row r="206" spans="21:27" x14ac:dyDescent="0.25">
      <c r="U206" s="252"/>
      <c r="V206" s="252"/>
      <c r="W206" s="252"/>
      <c r="X206" s="252"/>
      <c r="Y206" s="252"/>
      <c r="Z206" s="252"/>
      <c r="AA206" s="252"/>
    </row>
    <row r="207" spans="21:27" x14ac:dyDescent="0.25">
      <c r="U207" s="252"/>
      <c r="V207" s="252"/>
      <c r="W207" s="252"/>
      <c r="X207" s="252"/>
      <c r="Y207" s="252"/>
      <c r="Z207" s="252"/>
      <c r="AA207" s="252"/>
    </row>
    <row r="208" spans="21:27" x14ac:dyDescent="0.25">
      <c r="U208" s="252"/>
      <c r="V208" s="252"/>
      <c r="W208" s="252"/>
      <c r="X208" s="252"/>
      <c r="Y208" s="252"/>
      <c r="Z208" s="252"/>
      <c r="AA208" s="252"/>
    </row>
    <row r="209" spans="21:27" x14ac:dyDescent="0.25">
      <c r="U209" s="252"/>
      <c r="V209" s="252"/>
      <c r="W209" s="252"/>
      <c r="X209" s="252"/>
      <c r="Y209" s="252"/>
      <c r="Z209" s="252"/>
      <c r="AA209" s="252"/>
    </row>
    <row r="210" spans="21:27" x14ac:dyDescent="0.25">
      <c r="U210" s="252"/>
      <c r="V210" s="252"/>
      <c r="W210" s="252"/>
      <c r="X210" s="252"/>
      <c r="Y210" s="252"/>
      <c r="Z210" s="252"/>
      <c r="AA210" s="252"/>
    </row>
    <row r="211" spans="21:27" x14ac:dyDescent="0.25">
      <c r="U211" s="252"/>
      <c r="V211" s="252"/>
      <c r="W211" s="252"/>
      <c r="X211" s="252"/>
      <c r="Y211" s="252"/>
      <c r="Z211" s="252"/>
      <c r="AA211" s="252"/>
    </row>
    <row r="212" spans="21:27" x14ac:dyDescent="0.25">
      <c r="U212" s="252"/>
      <c r="V212" s="252"/>
      <c r="W212" s="252"/>
      <c r="X212" s="252"/>
      <c r="Y212" s="252"/>
      <c r="Z212" s="252"/>
      <c r="AA212" s="252"/>
    </row>
    <row r="213" spans="21:27" x14ac:dyDescent="0.25">
      <c r="U213" s="252"/>
      <c r="V213" s="252"/>
      <c r="W213" s="252"/>
      <c r="X213" s="252"/>
      <c r="Y213" s="252"/>
      <c r="Z213" s="252"/>
      <c r="AA213" s="252"/>
    </row>
    <row r="214" spans="21:27" x14ac:dyDescent="0.25">
      <c r="U214" s="252"/>
      <c r="V214" s="252"/>
      <c r="W214" s="252"/>
      <c r="X214" s="252"/>
      <c r="Y214" s="252"/>
      <c r="Z214" s="252"/>
      <c r="AA214" s="252"/>
    </row>
    <row r="215" spans="21:27" x14ac:dyDescent="0.25">
      <c r="U215" s="252"/>
      <c r="V215" s="252"/>
      <c r="W215" s="252"/>
      <c r="X215" s="252"/>
      <c r="Y215" s="252"/>
      <c r="Z215" s="252"/>
      <c r="AA215" s="252"/>
    </row>
    <row r="216" spans="21:27" x14ac:dyDescent="0.25">
      <c r="U216" s="252"/>
      <c r="V216" s="252"/>
      <c r="W216" s="252"/>
      <c r="X216" s="252"/>
      <c r="Y216" s="252"/>
      <c r="Z216" s="252"/>
      <c r="AA216" s="252"/>
    </row>
    <row r="217" spans="21:27" x14ac:dyDescent="0.25">
      <c r="U217" s="252"/>
      <c r="V217" s="252"/>
      <c r="W217" s="252"/>
      <c r="X217" s="252"/>
      <c r="Y217" s="252"/>
      <c r="Z217" s="252"/>
      <c r="AA217" s="252"/>
    </row>
    <row r="218" spans="21:27" x14ac:dyDescent="0.25">
      <c r="U218" s="252"/>
      <c r="V218" s="252"/>
      <c r="W218" s="252"/>
      <c r="X218" s="252"/>
      <c r="Y218" s="252"/>
      <c r="Z218" s="252"/>
      <c r="AA218" s="252"/>
    </row>
    <row r="219" spans="21:27" x14ac:dyDescent="0.25">
      <c r="U219" s="252"/>
      <c r="V219" s="252"/>
      <c r="W219" s="252"/>
      <c r="X219" s="252"/>
      <c r="Y219" s="252"/>
      <c r="Z219" s="252"/>
      <c r="AA219" s="252"/>
    </row>
    <row r="220" spans="21:27" x14ac:dyDescent="0.25">
      <c r="U220" s="252"/>
      <c r="V220" s="252"/>
      <c r="W220" s="252"/>
      <c r="X220" s="252"/>
      <c r="Y220" s="252"/>
      <c r="Z220" s="252"/>
      <c r="AA220" s="252"/>
    </row>
    <row r="221" spans="21:27" x14ac:dyDescent="0.25">
      <c r="U221" s="252"/>
      <c r="V221" s="252"/>
      <c r="W221" s="252"/>
      <c r="X221" s="252"/>
      <c r="Y221" s="252"/>
      <c r="Z221" s="252"/>
      <c r="AA221" s="252"/>
    </row>
    <row r="222" spans="21:27" x14ac:dyDescent="0.25">
      <c r="U222" s="252"/>
      <c r="V222" s="252"/>
      <c r="W222" s="252"/>
      <c r="X222" s="252"/>
      <c r="Y222" s="252"/>
      <c r="Z222" s="252"/>
      <c r="AA222" s="252"/>
    </row>
    <row r="223" spans="21:27" x14ac:dyDescent="0.25">
      <c r="U223" s="252"/>
      <c r="V223" s="252"/>
      <c r="W223" s="252"/>
      <c r="X223" s="252"/>
      <c r="Y223" s="252"/>
      <c r="Z223" s="252"/>
      <c r="AA223" s="252"/>
    </row>
    <row r="224" spans="21:27" x14ac:dyDescent="0.25">
      <c r="U224" s="252"/>
      <c r="V224" s="252"/>
      <c r="W224" s="252"/>
      <c r="X224" s="252"/>
      <c r="Y224" s="252"/>
      <c r="Z224" s="252"/>
      <c r="AA224" s="252"/>
    </row>
    <row r="225" spans="21:27" x14ac:dyDescent="0.25">
      <c r="U225" s="252"/>
      <c r="V225" s="252"/>
      <c r="W225" s="252"/>
      <c r="X225" s="252"/>
      <c r="Y225" s="252"/>
      <c r="Z225" s="252"/>
      <c r="AA225" s="252"/>
    </row>
    <row r="226" spans="21:27" x14ac:dyDescent="0.25">
      <c r="U226" s="252"/>
      <c r="V226" s="252"/>
      <c r="W226" s="252"/>
      <c r="X226" s="252"/>
      <c r="Y226" s="252"/>
      <c r="Z226" s="252"/>
      <c r="AA226" s="252"/>
    </row>
    <row r="227" spans="21:27" x14ac:dyDescent="0.25">
      <c r="U227" s="252"/>
      <c r="V227" s="252"/>
      <c r="W227" s="252"/>
      <c r="X227" s="252"/>
      <c r="Y227" s="252"/>
      <c r="Z227" s="252"/>
      <c r="AA227" s="252"/>
    </row>
    <row r="228" spans="21:27" x14ac:dyDescent="0.25">
      <c r="U228" s="252"/>
      <c r="V228" s="252"/>
      <c r="W228" s="252"/>
      <c r="X228" s="252"/>
      <c r="Y228" s="252"/>
      <c r="Z228" s="252"/>
      <c r="AA228" s="252"/>
    </row>
    <row r="229" spans="21:27" x14ac:dyDescent="0.25">
      <c r="U229" s="252"/>
      <c r="V229" s="252"/>
      <c r="W229" s="252"/>
      <c r="X229" s="252"/>
      <c r="Y229" s="252"/>
      <c r="Z229" s="252"/>
      <c r="AA229" s="252"/>
    </row>
    <row r="230" spans="21:27" x14ac:dyDescent="0.25">
      <c r="U230" s="252"/>
      <c r="V230" s="252"/>
      <c r="W230" s="252"/>
      <c r="X230" s="252"/>
      <c r="Y230" s="252"/>
      <c r="Z230" s="252"/>
      <c r="AA230" s="252"/>
    </row>
    <row r="231" spans="21:27" x14ac:dyDescent="0.25">
      <c r="U231" s="252"/>
      <c r="V231" s="252"/>
      <c r="W231" s="252"/>
      <c r="X231" s="252"/>
      <c r="Y231" s="252"/>
      <c r="Z231" s="252"/>
      <c r="AA231" s="252"/>
    </row>
    <row r="232" spans="21:27" x14ac:dyDescent="0.25">
      <c r="U232" s="252"/>
      <c r="V232" s="252"/>
      <c r="W232" s="252"/>
      <c r="X232" s="252"/>
      <c r="Y232" s="252"/>
      <c r="Z232" s="252"/>
      <c r="AA232" s="252"/>
    </row>
    <row r="233" spans="21:27" x14ac:dyDescent="0.25">
      <c r="U233" s="252"/>
      <c r="V233" s="252"/>
      <c r="W233" s="252"/>
      <c r="X233" s="252"/>
      <c r="Y233" s="252"/>
      <c r="Z233" s="252"/>
      <c r="AA233" s="252"/>
    </row>
    <row r="234" spans="21:27" x14ac:dyDescent="0.25">
      <c r="U234" s="252"/>
      <c r="V234" s="252"/>
      <c r="W234" s="252"/>
      <c r="X234" s="252"/>
      <c r="Y234" s="252"/>
      <c r="Z234" s="252"/>
      <c r="AA234" s="252"/>
    </row>
    <row r="235" spans="21:27" x14ac:dyDescent="0.25">
      <c r="U235" s="252"/>
      <c r="V235" s="252"/>
      <c r="W235" s="252"/>
      <c r="X235" s="252"/>
      <c r="Y235" s="252"/>
      <c r="Z235" s="252"/>
      <c r="AA235" s="252"/>
    </row>
    <row r="236" spans="21:27" x14ac:dyDescent="0.25">
      <c r="U236" s="252"/>
      <c r="V236" s="252"/>
      <c r="W236" s="252"/>
      <c r="X236" s="252"/>
      <c r="Y236" s="252"/>
      <c r="Z236" s="252"/>
      <c r="AA236" s="252"/>
    </row>
    <row r="237" spans="21:27" x14ac:dyDescent="0.25">
      <c r="U237" s="252"/>
      <c r="V237" s="252"/>
      <c r="W237" s="252"/>
      <c r="X237" s="252"/>
      <c r="Y237" s="252"/>
      <c r="Z237" s="252"/>
      <c r="AA237" s="252"/>
    </row>
    <row r="238" spans="21:27" x14ac:dyDescent="0.25">
      <c r="U238" s="252"/>
      <c r="V238" s="252"/>
      <c r="W238" s="252"/>
      <c r="X238" s="252"/>
      <c r="Y238" s="252"/>
      <c r="Z238" s="252"/>
      <c r="AA238" s="252"/>
    </row>
    <row r="239" spans="21:27" x14ac:dyDescent="0.25">
      <c r="U239" s="252"/>
      <c r="V239" s="252"/>
      <c r="W239" s="252"/>
      <c r="X239" s="252"/>
      <c r="Y239" s="252"/>
      <c r="Z239" s="252"/>
      <c r="AA239" s="252"/>
    </row>
    <row r="240" spans="21:27" x14ac:dyDescent="0.25">
      <c r="U240" s="252"/>
      <c r="V240" s="252"/>
      <c r="W240" s="252"/>
      <c r="X240" s="252"/>
      <c r="Y240" s="252"/>
      <c r="Z240" s="252"/>
      <c r="AA240" s="252"/>
    </row>
    <row r="241" spans="21:27" x14ac:dyDescent="0.25">
      <c r="U241" s="252"/>
      <c r="V241" s="252"/>
      <c r="W241" s="252"/>
      <c r="X241" s="252"/>
      <c r="Y241" s="252"/>
      <c r="Z241" s="252"/>
      <c r="AA241" s="252"/>
    </row>
    <row r="242" spans="21:27" x14ac:dyDescent="0.25">
      <c r="U242" s="252"/>
      <c r="V242" s="252"/>
      <c r="W242" s="252"/>
      <c r="X242" s="252"/>
      <c r="Y242" s="252"/>
      <c r="Z242" s="252"/>
      <c r="AA242" s="252"/>
    </row>
    <row r="243" spans="21:27" x14ac:dyDescent="0.25">
      <c r="U243" s="252"/>
      <c r="V243" s="252"/>
      <c r="W243" s="252"/>
      <c r="X243" s="252"/>
      <c r="Y243" s="252"/>
      <c r="Z243" s="252"/>
      <c r="AA243" s="252"/>
    </row>
    <row r="244" spans="21:27" x14ac:dyDescent="0.25">
      <c r="U244" s="252"/>
      <c r="V244" s="252"/>
      <c r="W244" s="252"/>
      <c r="X244" s="252"/>
      <c r="Y244" s="252"/>
      <c r="Z244" s="252"/>
      <c r="AA244" s="252"/>
    </row>
    <row r="245" spans="21:27" x14ac:dyDescent="0.25">
      <c r="U245" s="252"/>
      <c r="V245" s="252"/>
      <c r="W245" s="252"/>
      <c r="X245" s="252"/>
      <c r="Y245" s="252"/>
      <c r="Z245" s="252"/>
      <c r="AA245" s="252"/>
    </row>
    <row r="246" spans="21:27" x14ac:dyDescent="0.25">
      <c r="U246" s="252"/>
      <c r="V246" s="252"/>
      <c r="W246" s="252"/>
      <c r="X246" s="252"/>
      <c r="Y246" s="252"/>
      <c r="Z246" s="252"/>
      <c r="AA246" s="252"/>
    </row>
    <row r="247" spans="21:27" x14ac:dyDescent="0.25">
      <c r="U247" s="252"/>
      <c r="V247" s="252"/>
      <c r="W247" s="252"/>
      <c r="X247" s="252"/>
      <c r="Y247" s="252"/>
      <c r="Z247" s="252"/>
      <c r="AA247" s="252"/>
    </row>
    <row r="248" spans="21:27" x14ac:dyDescent="0.25">
      <c r="U248" s="252"/>
      <c r="V248" s="252"/>
      <c r="W248" s="252"/>
      <c r="X248" s="252"/>
      <c r="Y248" s="252"/>
      <c r="Z248" s="252"/>
      <c r="AA248" s="252"/>
    </row>
    <row r="249" spans="21:27" x14ac:dyDescent="0.25">
      <c r="U249" s="252"/>
      <c r="V249" s="252"/>
      <c r="W249" s="252"/>
      <c r="X249" s="252"/>
      <c r="Y249" s="252"/>
      <c r="Z249" s="252"/>
      <c r="AA249" s="252"/>
    </row>
    <row r="250" spans="21:27" x14ac:dyDescent="0.25">
      <c r="U250" s="252"/>
      <c r="V250" s="252"/>
      <c r="W250" s="252"/>
      <c r="X250" s="252"/>
      <c r="Y250" s="252"/>
      <c r="Z250" s="252"/>
      <c r="AA250" s="252"/>
    </row>
    <row r="251" spans="21:27" x14ac:dyDescent="0.25">
      <c r="U251" s="252"/>
      <c r="V251" s="252"/>
      <c r="W251" s="252"/>
      <c r="X251" s="252"/>
      <c r="Y251" s="252"/>
      <c r="Z251" s="252"/>
      <c r="AA251" s="252"/>
    </row>
    <row r="252" spans="21:27" x14ac:dyDescent="0.25">
      <c r="U252" s="252"/>
      <c r="V252" s="252"/>
      <c r="W252" s="252"/>
      <c r="X252" s="252"/>
      <c r="Y252" s="252"/>
      <c r="Z252" s="252"/>
      <c r="AA252" s="252"/>
    </row>
    <row r="253" spans="21:27" x14ac:dyDescent="0.25">
      <c r="U253" s="252"/>
      <c r="V253" s="252"/>
      <c r="W253" s="252"/>
      <c r="X253" s="252"/>
      <c r="Y253" s="252"/>
      <c r="Z253" s="252"/>
      <c r="AA253" s="252"/>
    </row>
    <row r="254" spans="21:27" x14ac:dyDescent="0.25">
      <c r="U254" s="252"/>
      <c r="V254" s="252"/>
      <c r="W254" s="252"/>
      <c r="X254" s="252"/>
      <c r="Y254" s="252"/>
      <c r="Z254" s="252"/>
      <c r="AA254" s="252"/>
    </row>
    <row r="255" spans="21:27" x14ac:dyDescent="0.25">
      <c r="U255" s="252"/>
      <c r="V255" s="252"/>
      <c r="W255" s="252"/>
      <c r="X255" s="252"/>
      <c r="Y255" s="252"/>
      <c r="Z255" s="252"/>
      <c r="AA255" s="252"/>
    </row>
    <row r="256" spans="21:27" x14ac:dyDescent="0.25">
      <c r="U256" s="252"/>
      <c r="V256" s="252"/>
      <c r="W256" s="252"/>
      <c r="X256" s="252"/>
      <c r="Y256" s="252"/>
      <c r="Z256" s="252"/>
      <c r="AA256" s="252"/>
    </row>
    <row r="257" spans="21:27" x14ac:dyDescent="0.25">
      <c r="U257" s="252"/>
      <c r="V257" s="252"/>
      <c r="W257" s="252"/>
      <c r="X257" s="252"/>
      <c r="Y257" s="252"/>
      <c r="Z257" s="252"/>
      <c r="AA257" s="252"/>
    </row>
    <row r="258" spans="21:27" x14ac:dyDescent="0.25">
      <c r="U258" s="252"/>
      <c r="V258" s="252"/>
      <c r="W258" s="252"/>
      <c r="X258" s="252"/>
      <c r="Y258" s="252"/>
      <c r="Z258" s="252"/>
      <c r="AA258" s="252"/>
    </row>
    <row r="259" spans="21:27" x14ac:dyDescent="0.25">
      <c r="U259" s="252"/>
      <c r="V259" s="252"/>
      <c r="W259" s="252"/>
      <c r="X259" s="252"/>
      <c r="Y259" s="252"/>
      <c r="Z259" s="252"/>
      <c r="AA259" s="252"/>
    </row>
    <row r="260" spans="21:27" x14ac:dyDescent="0.25">
      <c r="U260" s="252"/>
      <c r="V260" s="252"/>
      <c r="W260" s="252"/>
      <c r="X260" s="252"/>
      <c r="Y260" s="252"/>
      <c r="Z260" s="252"/>
      <c r="AA260" s="252"/>
    </row>
    <row r="261" spans="21:27" x14ac:dyDescent="0.25">
      <c r="U261" s="252"/>
      <c r="V261" s="252"/>
      <c r="W261" s="252"/>
      <c r="X261" s="252"/>
      <c r="Y261" s="252"/>
      <c r="Z261" s="252"/>
      <c r="AA261" s="252"/>
    </row>
    <row r="262" spans="21:27" x14ac:dyDescent="0.25">
      <c r="U262" s="252"/>
      <c r="V262" s="252"/>
      <c r="W262" s="252"/>
      <c r="X262" s="252"/>
      <c r="Y262" s="252"/>
      <c r="Z262" s="252"/>
      <c r="AA262" s="252"/>
    </row>
    <row r="263" spans="21:27" x14ac:dyDescent="0.25">
      <c r="U263" s="252"/>
      <c r="V263" s="252"/>
      <c r="W263" s="252"/>
      <c r="X263" s="252"/>
      <c r="Y263" s="252"/>
      <c r="Z263" s="252"/>
      <c r="AA263" s="252"/>
    </row>
    <row r="264" spans="21:27" x14ac:dyDescent="0.25">
      <c r="U264" s="252"/>
      <c r="V264" s="252"/>
      <c r="W264" s="252"/>
      <c r="X264" s="252"/>
      <c r="Y264" s="252"/>
      <c r="Z264" s="252"/>
      <c r="AA264" s="252"/>
    </row>
    <row r="265" spans="21:27" x14ac:dyDescent="0.25">
      <c r="U265" s="252"/>
      <c r="V265" s="252"/>
      <c r="W265" s="252"/>
      <c r="X265" s="252"/>
      <c r="Y265" s="252"/>
      <c r="Z265" s="252"/>
      <c r="AA265" s="252"/>
    </row>
    <row r="266" spans="21:27" x14ac:dyDescent="0.25">
      <c r="U266" s="252"/>
      <c r="V266" s="252"/>
      <c r="W266" s="252"/>
      <c r="X266" s="252"/>
      <c r="Y266" s="252"/>
      <c r="Z266" s="252"/>
      <c r="AA266" s="252"/>
    </row>
    <row r="267" spans="21:27" x14ac:dyDescent="0.25">
      <c r="U267" s="252"/>
      <c r="V267" s="252"/>
      <c r="W267" s="252"/>
      <c r="X267" s="252"/>
      <c r="Y267" s="252"/>
      <c r="Z267" s="252"/>
      <c r="AA267" s="252"/>
    </row>
    <row r="268" spans="21:27" x14ac:dyDescent="0.25">
      <c r="U268" s="252"/>
      <c r="V268" s="252"/>
      <c r="W268" s="252"/>
      <c r="X268" s="252"/>
      <c r="Y268" s="252"/>
      <c r="Z268" s="252"/>
      <c r="AA268" s="252"/>
    </row>
    <row r="269" spans="21:27" x14ac:dyDescent="0.25">
      <c r="U269" s="252"/>
      <c r="V269" s="252"/>
      <c r="W269" s="252"/>
      <c r="X269" s="252"/>
      <c r="Y269" s="252"/>
      <c r="Z269" s="252"/>
      <c r="AA269" s="252"/>
    </row>
    <row r="270" spans="21:27" x14ac:dyDescent="0.25">
      <c r="U270" s="252"/>
      <c r="V270" s="252"/>
      <c r="W270" s="252"/>
      <c r="X270" s="252"/>
      <c r="Y270" s="252"/>
      <c r="Z270" s="252"/>
      <c r="AA270" s="252"/>
    </row>
    <row r="271" spans="21:27" x14ac:dyDescent="0.25">
      <c r="U271" s="252"/>
      <c r="V271" s="252"/>
      <c r="W271" s="252"/>
      <c r="X271" s="252"/>
      <c r="Y271" s="252"/>
      <c r="Z271" s="252"/>
      <c r="AA271" s="252"/>
    </row>
    <row r="272" spans="21:27" x14ac:dyDescent="0.25">
      <c r="U272" s="252"/>
      <c r="V272" s="252"/>
      <c r="W272" s="252"/>
      <c r="X272" s="252"/>
      <c r="Y272" s="252"/>
      <c r="Z272" s="252"/>
      <c r="AA272" s="252"/>
    </row>
    <row r="273" spans="21:27" x14ac:dyDescent="0.25">
      <c r="U273" s="252"/>
      <c r="V273" s="252"/>
      <c r="W273" s="252"/>
      <c r="X273" s="252"/>
      <c r="Y273" s="252"/>
      <c r="Z273" s="252"/>
      <c r="AA273" s="252"/>
    </row>
    <row r="274" spans="21:27" x14ac:dyDescent="0.25">
      <c r="U274" s="252"/>
      <c r="V274" s="252"/>
      <c r="W274" s="252"/>
      <c r="X274" s="252"/>
      <c r="Y274" s="252"/>
      <c r="Z274" s="252"/>
      <c r="AA274" s="252"/>
    </row>
    <row r="275" spans="21:27" x14ac:dyDescent="0.25">
      <c r="U275" s="252"/>
      <c r="V275" s="252"/>
      <c r="W275" s="252"/>
      <c r="X275" s="252"/>
      <c r="Y275" s="252"/>
      <c r="Z275" s="252"/>
      <c r="AA275" s="252"/>
    </row>
    <row r="276" spans="21:27" x14ac:dyDescent="0.25">
      <c r="U276" s="252"/>
      <c r="V276" s="252"/>
      <c r="W276" s="252"/>
      <c r="X276" s="252"/>
      <c r="Y276" s="252"/>
      <c r="Z276" s="252"/>
      <c r="AA276" s="252"/>
    </row>
    <row r="277" spans="21:27" x14ac:dyDescent="0.25">
      <c r="U277" s="252"/>
      <c r="V277" s="252"/>
      <c r="W277" s="252"/>
      <c r="X277" s="252"/>
      <c r="Y277" s="252"/>
      <c r="Z277" s="252"/>
      <c r="AA277" s="252"/>
    </row>
    <row r="278" spans="21:27" x14ac:dyDescent="0.25">
      <c r="U278" s="252"/>
      <c r="V278" s="252"/>
      <c r="W278" s="252"/>
      <c r="X278" s="252"/>
      <c r="Y278" s="252"/>
      <c r="Z278" s="252"/>
      <c r="AA278" s="252"/>
    </row>
    <row r="279" spans="21:27" x14ac:dyDescent="0.25">
      <c r="U279" s="252"/>
      <c r="V279" s="252"/>
      <c r="W279" s="252"/>
      <c r="X279" s="252"/>
      <c r="Y279" s="252"/>
      <c r="Z279" s="252"/>
      <c r="AA279" s="252"/>
    </row>
    <row r="280" spans="21:27" x14ac:dyDescent="0.25">
      <c r="U280" s="252"/>
      <c r="V280" s="252"/>
      <c r="W280" s="252"/>
      <c r="X280" s="252"/>
      <c r="Y280" s="252"/>
      <c r="Z280" s="252"/>
      <c r="AA280" s="252"/>
    </row>
    <row r="281" spans="21:27" x14ac:dyDescent="0.25">
      <c r="U281" s="252"/>
      <c r="V281" s="252"/>
      <c r="W281" s="252"/>
      <c r="X281" s="252"/>
      <c r="Y281" s="252"/>
      <c r="Z281" s="252"/>
      <c r="AA281" s="252"/>
    </row>
    <row r="282" spans="21:27" x14ac:dyDescent="0.25">
      <c r="U282" s="252"/>
      <c r="V282" s="252"/>
      <c r="W282" s="252"/>
      <c r="X282" s="252"/>
      <c r="Y282" s="252"/>
      <c r="Z282" s="252"/>
      <c r="AA282" s="252"/>
    </row>
    <row r="283" spans="21:27" x14ac:dyDescent="0.25">
      <c r="U283" s="252"/>
      <c r="V283" s="252"/>
      <c r="W283" s="252"/>
      <c r="X283" s="252"/>
      <c r="Y283" s="252"/>
      <c r="Z283" s="252"/>
      <c r="AA283" s="252"/>
    </row>
    <row r="284" spans="21:27" x14ac:dyDescent="0.25">
      <c r="U284" s="252"/>
      <c r="V284" s="252"/>
      <c r="W284" s="252"/>
      <c r="X284" s="252"/>
      <c r="Y284" s="252"/>
      <c r="Z284" s="252"/>
      <c r="AA284" s="252"/>
    </row>
    <row r="285" spans="21:27" x14ac:dyDescent="0.25">
      <c r="U285" s="252"/>
      <c r="V285" s="252"/>
      <c r="W285" s="252"/>
      <c r="X285" s="252"/>
      <c r="Y285" s="252"/>
      <c r="Z285" s="252"/>
      <c r="AA285" s="252"/>
    </row>
    <row r="286" spans="21:27" x14ac:dyDescent="0.25">
      <c r="U286" s="252"/>
      <c r="V286" s="252"/>
      <c r="W286" s="252"/>
      <c r="X286" s="252"/>
      <c r="Y286" s="252"/>
      <c r="Z286" s="252"/>
      <c r="AA286" s="252"/>
    </row>
    <row r="287" spans="21:27" x14ac:dyDescent="0.25">
      <c r="U287" s="252"/>
      <c r="V287" s="252"/>
      <c r="W287" s="252"/>
      <c r="X287" s="252"/>
      <c r="Y287" s="252"/>
      <c r="Z287" s="252"/>
      <c r="AA287" s="252"/>
    </row>
    <row r="288" spans="21:27" x14ac:dyDescent="0.25">
      <c r="U288" s="252"/>
      <c r="V288" s="252"/>
      <c r="W288" s="252"/>
      <c r="X288" s="252"/>
      <c r="Y288" s="252"/>
      <c r="Z288" s="252"/>
      <c r="AA288" s="252"/>
    </row>
    <row r="289" spans="21:27" x14ac:dyDescent="0.25">
      <c r="U289" s="252"/>
      <c r="V289" s="252"/>
      <c r="W289" s="252"/>
      <c r="X289" s="252"/>
      <c r="Y289" s="252"/>
      <c r="Z289" s="252"/>
      <c r="AA289" s="252"/>
    </row>
    <row r="290" spans="21:27" x14ac:dyDescent="0.25">
      <c r="U290" s="252"/>
      <c r="V290" s="252"/>
      <c r="W290" s="252"/>
      <c r="X290" s="252"/>
      <c r="Y290" s="252"/>
      <c r="Z290" s="252"/>
      <c r="AA290" s="252"/>
    </row>
    <row r="291" spans="21:27" x14ac:dyDescent="0.25">
      <c r="U291" s="252"/>
      <c r="V291" s="252"/>
      <c r="W291" s="252"/>
      <c r="X291" s="252"/>
      <c r="Y291" s="252"/>
      <c r="Z291" s="252"/>
      <c r="AA291" s="252"/>
    </row>
    <row r="292" spans="21:27" x14ac:dyDescent="0.25">
      <c r="U292" s="252"/>
      <c r="V292" s="252"/>
      <c r="W292" s="252"/>
      <c r="X292" s="252"/>
      <c r="Y292" s="252"/>
      <c r="Z292" s="252"/>
      <c r="AA292" s="252"/>
    </row>
    <row r="293" spans="21:27" x14ac:dyDescent="0.25">
      <c r="U293" s="252"/>
      <c r="V293" s="252"/>
      <c r="W293" s="252"/>
      <c r="X293" s="252"/>
      <c r="Y293" s="252"/>
      <c r="Z293" s="252"/>
      <c r="AA293" s="252"/>
    </row>
    <row r="294" spans="21:27" x14ac:dyDescent="0.25">
      <c r="U294" s="252"/>
      <c r="V294" s="252"/>
      <c r="W294" s="252"/>
      <c r="X294" s="252"/>
      <c r="Y294" s="252"/>
      <c r="Z294" s="252"/>
      <c r="AA294" s="252"/>
    </row>
    <row r="295" spans="21:27" x14ac:dyDescent="0.25">
      <c r="U295" s="252"/>
      <c r="V295" s="252"/>
      <c r="W295" s="252"/>
      <c r="X295" s="252"/>
      <c r="Y295" s="252"/>
      <c r="Z295" s="252"/>
      <c r="AA295" s="252"/>
    </row>
    <row r="296" spans="21:27" x14ac:dyDescent="0.25">
      <c r="U296" s="252"/>
      <c r="V296" s="252"/>
      <c r="W296" s="252"/>
      <c r="X296" s="252"/>
      <c r="Y296" s="252"/>
      <c r="Z296" s="252"/>
      <c r="AA296" s="252"/>
    </row>
    <row r="297" spans="21:27" x14ac:dyDescent="0.25">
      <c r="U297" s="252"/>
      <c r="V297" s="252"/>
      <c r="W297" s="252"/>
      <c r="X297" s="252"/>
      <c r="Y297" s="252"/>
      <c r="Z297" s="252"/>
      <c r="AA297" s="252"/>
    </row>
    <row r="298" spans="21:27" x14ac:dyDescent="0.25">
      <c r="U298" s="252"/>
      <c r="V298" s="252"/>
      <c r="W298" s="252"/>
      <c r="X298" s="252"/>
      <c r="Y298" s="252"/>
      <c r="Z298" s="252"/>
      <c r="AA298" s="252"/>
    </row>
    <row r="299" spans="21:27" x14ac:dyDescent="0.25">
      <c r="U299" s="252"/>
      <c r="V299" s="252"/>
      <c r="W299" s="252"/>
      <c r="X299" s="252"/>
      <c r="Y299" s="252"/>
      <c r="Z299" s="252"/>
      <c r="AA299" s="252"/>
    </row>
    <row r="300" spans="21:27" x14ac:dyDescent="0.25">
      <c r="U300" s="252"/>
      <c r="V300" s="252"/>
      <c r="W300" s="252"/>
      <c r="X300" s="252"/>
      <c r="Y300" s="252"/>
      <c r="Z300" s="252"/>
      <c r="AA300" s="252"/>
    </row>
    <row r="301" spans="21:27" x14ac:dyDescent="0.25">
      <c r="U301" s="252"/>
      <c r="V301" s="252"/>
      <c r="W301" s="252"/>
      <c r="X301" s="252"/>
      <c r="Y301" s="252"/>
      <c r="Z301" s="252"/>
      <c r="AA301" s="252"/>
    </row>
    <row r="302" spans="21:27" x14ac:dyDescent="0.25">
      <c r="U302" s="252"/>
      <c r="V302" s="252"/>
      <c r="W302" s="252"/>
      <c r="X302" s="252"/>
      <c r="Y302" s="252"/>
      <c r="Z302" s="252"/>
      <c r="AA302" s="252"/>
    </row>
    <row r="303" spans="21:27" x14ac:dyDescent="0.25">
      <c r="U303" s="252"/>
      <c r="V303" s="252"/>
      <c r="W303" s="252"/>
      <c r="X303" s="252"/>
      <c r="Y303" s="252"/>
      <c r="Z303" s="252"/>
      <c r="AA303" s="252"/>
    </row>
    <row r="304" spans="21:27" x14ac:dyDescent="0.25">
      <c r="U304" s="252"/>
      <c r="V304" s="252"/>
      <c r="W304" s="252"/>
      <c r="X304" s="252"/>
      <c r="Y304" s="252"/>
      <c r="Z304" s="252"/>
      <c r="AA304" s="252"/>
    </row>
    <row r="305" spans="21:27" x14ac:dyDescent="0.25">
      <c r="U305" s="252"/>
      <c r="V305" s="252"/>
      <c r="W305" s="252"/>
      <c r="X305" s="252"/>
      <c r="Y305" s="252"/>
      <c r="Z305" s="252"/>
      <c r="AA305" s="252"/>
    </row>
    <row r="306" spans="21:27" x14ac:dyDescent="0.25">
      <c r="U306" s="252"/>
      <c r="V306" s="252"/>
      <c r="W306" s="252"/>
      <c r="X306" s="252"/>
      <c r="Y306" s="252"/>
      <c r="Z306" s="252"/>
      <c r="AA306" s="252"/>
    </row>
    <row r="307" spans="21:27" x14ac:dyDescent="0.25">
      <c r="U307" s="252"/>
      <c r="V307" s="252"/>
      <c r="W307" s="252"/>
      <c r="X307" s="252"/>
      <c r="Y307" s="252"/>
      <c r="Z307" s="252"/>
      <c r="AA307" s="252"/>
    </row>
    <row r="308" spans="21:27" x14ac:dyDescent="0.25">
      <c r="U308" s="252"/>
      <c r="V308" s="252"/>
      <c r="W308" s="252"/>
      <c r="X308" s="252"/>
      <c r="Y308" s="252"/>
      <c r="Z308" s="252"/>
      <c r="AA308" s="252"/>
    </row>
    <row r="309" spans="21:27" x14ac:dyDescent="0.25">
      <c r="U309" s="252"/>
      <c r="V309" s="252"/>
      <c r="W309" s="252"/>
      <c r="X309" s="252"/>
      <c r="Y309" s="252"/>
      <c r="Z309" s="252"/>
      <c r="AA309" s="252"/>
    </row>
    <row r="310" spans="21:27" x14ac:dyDescent="0.25">
      <c r="U310" s="252"/>
      <c r="V310" s="252"/>
      <c r="W310" s="252"/>
      <c r="X310" s="252"/>
      <c r="Y310" s="252"/>
      <c r="Z310" s="252"/>
      <c r="AA310" s="252"/>
    </row>
    <row r="311" spans="21:27" x14ac:dyDescent="0.25">
      <c r="U311" s="252"/>
      <c r="V311" s="252"/>
      <c r="W311" s="252"/>
      <c r="X311" s="252"/>
      <c r="Y311" s="252"/>
      <c r="Z311" s="252"/>
      <c r="AA311" s="252"/>
    </row>
    <row r="312" spans="21:27" x14ac:dyDescent="0.25">
      <c r="U312" s="252"/>
      <c r="V312" s="252"/>
      <c r="W312" s="252"/>
      <c r="X312" s="252"/>
      <c r="Y312" s="252"/>
      <c r="Z312" s="252"/>
      <c r="AA312" s="252"/>
    </row>
    <row r="313" spans="21:27" x14ac:dyDescent="0.25">
      <c r="U313" s="252"/>
      <c r="V313" s="252"/>
      <c r="W313" s="252"/>
      <c r="X313" s="252"/>
      <c r="Y313" s="252"/>
      <c r="Z313" s="252"/>
      <c r="AA313" s="252"/>
    </row>
    <row r="314" spans="21:27" x14ac:dyDescent="0.25">
      <c r="U314" s="252"/>
      <c r="V314" s="252"/>
      <c r="W314" s="252"/>
      <c r="X314" s="252"/>
      <c r="Y314" s="252"/>
      <c r="Z314" s="252"/>
      <c r="AA314" s="252"/>
    </row>
    <row r="315" spans="21:27" x14ac:dyDescent="0.25">
      <c r="U315" s="252"/>
      <c r="V315" s="252"/>
      <c r="W315" s="252"/>
      <c r="X315" s="252"/>
      <c r="Y315" s="252"/>
      <c r="Z315" s="252"/>
      <c r="AA315" s="252"/>
    </row>
    <row r="316" spans="21:27" x14ac:dyDescent="0.25">
      <c r="U316" s="252"/>
      <c r="V316" s="252"/>
      <c r="W316" s="252"/>
      <c r="X316" s="252"/>
      <c r="Y316" s="252"/>
      <c r="Z316" s="252"/>
      <c r="AA316" s="252"/>
    </row>
    <row r="317" spans="21:27" x14ac:dyDescent="0.25">
      <c r="U317" s="252"/>
      <c r="V317" s="252"/>
      <c r="W317" s="252"/>
      <c r="X317" s="252"/>
      <c r="Y317" s="252"/>
      <c r="Z317" s="252"/>
      <c r="AA317" s="252"/>
    </row>
    <row r="318" spans="21:27" x14ac:dyDescent="0.25">
      <c r="U318" s="252"/>
      <c r="V318" s="252"/>
      <c r="W318" s="252"/>
      <c r="X318" s="252"/>
      <c r="Y318" s="252"/>
      <c r="Z318" s="252"/>
      <c r="AA318" s="252"/>
    </row>
    <row r="319" spans="21:27" x14ac:dyDescent="0.25">
      <c r="U319" s="252"/>
      <c r="V319" s="252"/>
      <c r="W319" s="252"/>
      <c r="X319" s="252"/>
      <c r="Y319" s="252"/>
      <c r="Z319" s="252"/>
      <c r="AA319" s="252"/>
    </row>
    <row r="320" spans="21:27" x14ac:dyDescent="0.25">
      <c r="U320" s="252"/>
      <c r="V320" s="252"/>
      <c r="W320" s="252"/>
      <c r="X320" s="252"/>
      <c r="Y320" s="252"/>
      <c r="Z320" s="252"/>
      <c r="AA320" s="252"/>
    </row>
    <row r="321" spans="21:27" x14ac:dyDescent="0.25">
      <c r="U321" s="252"/>
      <c r="V321" s="252"/>
      <c r="W321" s="252"/>
      <c r="X321" s="252"/>
      <c r="Y321" s="252"/>
      <c r="Z321" s="252"/>
      <c r="AA321" s="252"/>
    </row>
    <row r="322" spans="21:27" x14ac:dyDescent="0.25">
      <c r="U322" s="252"/>
      <c r="V322" s="252"/>
      <c r="W322" s="252"/>
      <c r="X322" s="252"/>
      <c r="Y322" s="252"/>
      <c r="Z322" s="252"/>
      <c r="AA322" s="252"/>
    </row>
    <row r="323" spans="21:27" x14ac:dyDescent="0.25">
      <c r="U323" s="252"/>
      <c r="V323" s="252"/>
      <c r="W323" s="252"/>
      <c r="X323" s="252"/>
      <c r="Y323" s="252"/>
      <c r="Z323" s="252"/>
      <c r="AA323" s="252"/>
    </row>
    <row r="324" spans="21:27" x14ac:dyDescent="0.25">
      <c r="U324" s="252"/>
      <c r="V324" s="252"/>
      <c r="W324" s="252"/>
      <c r="X324" s="252"/>
      <c r="Y324" s="252"/>
      <c r="Z324" s="252"/>
      <c r="AA324" s="252"/>
    </row>
    <row r="325" spans="21:27" x14ac:dyDescent="0.25">
      <c r="U325" s="252"/>
      <c r="V325" s="252"/>
      <c r="W325" s="252"/>
      <c r="X325" s="252"/>
      <c r="Y325" s="252"/>
      <c r="Z325" s="252"/>
      <c r="AA325" s="252"/>
    </row>
    <row r="326" spans="21:27" x14ac:dyDescent="0.25">
      <c r="U326" s="252"/>
      <c r="V326" s="252"/>
      <c r="W326" s="252"/>
      <c r="X326" s="252"/>
      <c r="Y326" s="252"/>
      <c r="Z326" s="252"/>
      <c r="AA326" s="252"/>
    </row>
    <row r="327" spans="21:27" x14ac:dyDescent="0.25">
      <c r="U327" s="252"/>
      <c r="V327" s="252"/>
      <c r="W327" s="252"/>
      <c r="X327" s="252"/>
      <c r="Y327" s="252"/>
      <c r="Z327" s="252"/>
      <c r="AA327" s="252"/>
    </row>
    <row r="328" spans="21:27" x14ac:dyDescent="0.25">
      <c r="U328" s="252"/>
      <c r="V328" s="252"/>
      <c r="W328" s="252"/>
      <c r="X328" s="252"/>
      <c r="Y328" s="252"/>
      <c r="Z328" s="252"/>
      <c r="AA328" s="252"/>
    </row>
    <row r="329" spans="21:27" x14ac:dyDescent="0.25">
      <c r="U329" s="252"/>
      <c r="V329" s="252"/>
      <c r="W329" s="252"/>
      <c r="X329" s="252"/>
      <c r="Y329" s="252"/>
      <c r="Z329" s="252"/>
      <c r="AA329" s="252"/>
    </row>
    <row r="330" spans="21:27" x14ac:dyDescent="0.25">
      <c r="U330" s="252"/>
      <c r="V330" s="252"/>
      <c r="W330" s="252"/>
      <c r="X330" s="252"/>
      <c r="Y330" s="252"/>
      <c r="Z330" s="252"/>
      <c r="AA330" s="252"/>
    </row>
    <row r="331" spans="21:27" x14ac:dyDescent="0.25">
      <c r="U331" s="252"/>
      <c r="V331" s="252"/>
      <c r="W331" s="252"/>
      <c r="X331" s="252"/>
      <c r="Y331" s="252"/>
      <c r="Z331" s="252"/>
      <c r="AA331" s="252"/>
    </row>
    <row r="332" spans="21:27" x14ac:dyDescent="0.25">
      <c r="U332" s="252"/>
      <c r="V332" s="252"/>
      <c r="W332" s="252"/>
      <c r="X332" s="252"/>
      <c r="Y332" s="252"/>
      <c r="Z332" s="252"/>
      <c r="AA332" s="252"/>
    </row>
    <row r="333" spans="21:27" x14ac:dyDescent="0.25">
      <c r="U333" s="252"/>
      <c r="V333" s="252"/>
      <c r="W333" s="252"/>
      <c r="X333" s="252"/>
      <c r="Y333" s="252"/>
      <c r="Z333" s="252"/>
      <c r="AA333" s="252"/>
    </row>
    <row r="334" spans="21:27" x14ac:dyDescent="0.25">
      <c r="U334" s="252"/>
      <c r="V334" s="252"/>
      <c r="W334" s="252"/>
      <c r="X334" s="252"/>
      <c r="Y334" s="252"/>
      <c r="Z334" s="252"/>
      <c r="AA334" s="252"/>
    </row>
    <row r="335" spans="21:27" x14ac:dyDescent="0.25">
      <c r="U335" s="252"/>
      <c r="V335" s="252"/>
      <c r="W335" s="252"/>
      <c r="X335" s="252"/>
      <c r="Y335" s="252"/>
      <c r="Z335" s="252"/>
      <c r="AA335" s="252"/>
    </row>
    <row r="336" spans="21:27" x14ac:dyDescent="0.25">
      <c r="U336" s="252"/>
      <c r="V336" s="252"/>
      <c r="W336" s="252"/>
      <c r="X336" s="252"/>
      <c r="Y336" s="252"/>
      <c r="Z336" s="252"/>
      <c r="AA336" s="252"/>
    </row>
    <row r="337" spans="21:27" x14ac:dyDescent="0.25">
      <c r="U337" s="252"/>
      <c r="V337" s="252"/>
      <c r="W337" s="252"/>
      <c r="X337" s="252"/>
      <c r="Y337" s="252"/>
      <c r="Z337" s="252"/>
      <c r="AA337" s="252"/>
    </row>
    <row r="338" spans="21:27" x14ac:dyDescent="0.25">
      <c r="U338" s="252"/>
      <c r="V338" s="252"/>
      <c r="W338" s="252"/>
      <c r="X338" s="252"/>
      <c r="Y338" s="252"/>
      <c r="Z338" s="252"/>
      <c r="AA338" s="252"/>
    </row>
    <row r="339" spans="21:27" x14ac:dyDescent="0.25">
      <c r="U339" s="252"/>
      <c r="V339" s="252"/>
      <c r="W339" s="252"/>
      <c r="X339" s="252"/>
      <c r="Y339" s="252"/>
      <c r="Z339" s="252"/>
      <c r="AA339" s="252"/>
    </row>
    <row r="340" spans="21:27" x14ac:dyDescent="0.25">
      <c r="U340" s="252"/>
      <c r="V340" s="252"/>
      <c r="W340" s="252"/>
      <c r="X340" s="252"/>
      <c r="Y340" s="252"/>
      <c r="Z340" s="252"/>
      <c r="AA340" s="252"/>
    </row>
    <row r="341" spans="21:27" x14ac:dyDescent="0.25">
      <c r="U341" s="252"/>
      <c r="V341" s="252"/>
      <c r="W341" s="252"/>
      <c r="X341" s="252"/>
      <c r="Y341" s="252"/>
      <c r="Z341" s="252"/>
      <c r="AA341" s="252"/>
    </row>
    <row r="342" spans="21:27" x14ac:dyDescent="0.25">
      <c r="U342" s="252"/>
      <c r="V342" s="252"/>
      <c r="W342" s="252"/>
      <c r="X342" s="252"/>
      <c r="Y342" s="252"/>
      <c r="Z342" s="252"/>
      <c r="AA342" s="252"/>
    </row>
    <row r="343" spans="21:27" x14ac:dyDescent="0.25">
      <c r="U343" s="252"/>
      <c r="V343" s="252"/>
      <c r="W343" s="252"/>
      <c r="X343" s="252"/>
      <c r="Y343" s="252"/>
      <c r="Z343" s="252"/>
      <c r="AA343" s="252"/>
    </row>
    <row r="344" spans="21:27" x14ac:dyDescent="0.25">
      <c r="U344" s="252"/>
      <c r="V344" s="252"/>
      <c r="W344" s="252"/>
      <c r="X344" s="252"/>
      <c r="Y344" s="252"/>
      <c r="Z344" s="252"/>
      <c r="AA344" s="252"/>
    </row>
    <row r="345" spans="21:27" x14ac:dyDescent="0.25">
      <c r="U345" s="252"/>
      <c r="V345" s="252"/>
      <c r="W345" s="252"/>
      <c r="X345" s="252"/>
      <c r="Y345" s="252"/>
      <c r="Z345" s="252"/>
      <c r="AA345" s="252"/>
    </row>
    <row r="346" spans="21:27" x14ac:dyDescent="0.25">
      <c r="U346" s="252"/>
      <c r="V346" s="252"/>
      <c r="W346" s="252"/>
      <c r="X346" s="252"/>
      <c r="Y346" s="252"/>
      <c r="Z346" s="252"/>
      <c r="AA346" s="252"/>
    </row>
    <row r="347" spans="21:27" x14ac:dyDescent="0.25">
      <c r="U347" s="252"/>
      <c r="V347" s="252"/>
      <c r="W347" s="252"/>
      <c r="X347" s="252"/>
      <c r="Y347" s="252"/>
      <c r="Z347" s="252"/>
      <c r="AA347" s="252"/>
    </row>
    <row r="348" spans="21:27" x14ac:dyDescent="0.25">
      <c r="U348" s="252"/>
      <c r="V348" s="252"/>
      <c r="W348" s="252"/>
      <c r="X348" s="252"/>
      <c r="Y348" s="252"/>
      <c r="Z348" s="252"/>
      <c r="AA348" s="252"/>
    </row>
    <row r="349" spans="21:27" x14ac:dyDescent="0.25">
      <c r="U349" s="252"/>
      <c r="V349" s="252"/>
      <c r="W349" s="252"/>
      <c r="X349" s="252"/>
      <c r="Y349" s="252"/>
      <c r="Z349" s="252"/>
      <c r="AA349" s="252"/>
    </row>
    <row r="350" spans="21:27" x14ac:dyDescent="0.25">
      <c r="U350" s="252"/>
      <c r="V350" s="252"/>
      <c r="W350" s="252"/>
      <c r="X350" s="252"/>
      <c r="Y350" s="252"/>
      <c r="Z350" s="252"/>
      <c r="AA350" s="252"/>
    </row>
    <row r="351" spans="21:27" x14ac:dyDescent="0.25">
      <c r="U351" s="252"/>
      <c r="V351" s="252"/>
      <c r="W351" s="252"/>
      <c r="X351" s="252"/>
      <c r="Y351" s="252"/>
      <c r="Z351" s="252"/>
      <c r="AA351" s="252"/>
    </row>
    <row r="352" spans="21:27" x14ac:dyDescent="0.25">
      <c r="U352" s="252"/>
      <c r="V352" s="252"/>
      <c r="W352" s="252"/>
      <c r="X352" s="252"/>
      <c r="Y352" s="252"/>
      <c r="Z352" s="252"/>
      <c r="AA352" s="252"/>
    </row>
    <row r="353" spans="21:27" x14ac:dyDescent="0.25">
      <c r="U353" s="252"/>
      <c r="V353" s="252"/>
      <c r="W353" s="252"/>
      <c r="X353" s="252"/>
      <c r="Y353" s="252"/>
      <c r="Z353" s="252"/>
      <c r="AA353" s="252"/>
    </row>
    <row r="354" spans="21:27" x14ac:dyDescent="0.25">
      <c r="U354" s="252"/>
      <c r="V354" s="252"/>
      <c r="W354" s="252"/>
      <c r="X354" s="252"/>
      <c r="Y354" s="252"/>
      <c r="Z354" s="252"/>
      <c r="AA354" s="252"/>
    </row>
    <row r="355" spans="21:27" x14ac:dyDescent="0.25">
      <c r="U355" s="252"/>
      <c r="V355" s="252"/>
      <c r="W355" s="252"/>
      <c r="X355" s="252"/>
      <c r="Y355" s="252"/>
      <c r="Z355" s="252"/>
      <c r="AA355" s="252"/>
    </row>
    <row r="356" spans="21:27" x14ac:dyDescent="0.25">
      <c r="U356" s="252"/>
      <c r="V356" s="252"/>
      <c r="W356" s="252"/>
      <c r="X356" s="252"/>
      <c r="Y356" s="252"/>
      <c r="Z356" s="252"/>
      <c r="AA356" s="252"/>
    </row>
    <row r="357" spans="21:27" x14ac:dyDescent="0.25">
      <c r="U357" s="252"/>
      <c r="V357" s="252"/>
      <c r="W357" s="252"/>
      <c r="X357" s="252"/>
      <c r="Y357" s="252"/>
      <c r="Z357" s="252"/>
      <c r="AA357" s="252"/>
    </row>
    <row r="358" spans="21:27" x14ac:dyDescent="0.25">
      <c r="U358" s="252"/>
      <c r="V358" s="252"/>
      <c r="W358" s="252"/>
      <c r="X358" s="252"/>
      <c r="Y358" s="252"/>
      <c r="Z358" s="252"/>
      <c r="AA358" s="252"/>
    </row>
    <row r="359" spans="21:27" x14ac:dyDescent="0.25">
      <c r="U359" s="252"/>
      <c r="V359" s="252"/>
      <c r="W359" s="252"/>
      <c r="X359" s="252"/>
      <c r="Y359" s="252"/>
      <c r="Z359" s="252"/>
      <c r="AA359" s="252"/>
    </row>
    <row r="360" spans="21:27" x14ac:dyDescent="0.25">
      <c r="U360" s="252"/>
      <c r="V360" s="252"/>
      <c r="W360" s="252"/>
      <c r="X360" s="252"/>
      <c r="Y360" s="252"/>
      <c r="Z360" s="252"/>
      <c r="AA360" s="252"/>
    </row>
    <row r="361" spans="21:27" x14ac:dyDescent="0.25">
      <c r="U361" s="252"/>
      <c r="V361" s="252"/>
      <c r="W361" s="252"/>
      <c r="X361" s="252"/>
      <c r="Y361" s="252"/>
      <c r="Z361" s="252"/>
      <c r="AA361" s="252"/>
    </row>
    <row r="362" spans="21:27" x14ac:dyDescent="0.25">
      <c r="U362" s="252"/>
      <c r="V362" s="252"/>
      <c r="W362" s="252"/>
      <c r="X362" s="252"/>
      <c r="Y362" s="252"/>
      <c r="Z362" s="252"/>
      <c r="AA362" s="252"/>
    </row>
    <row r="363" spans="21:27" x14ac:dyDescent="0.25">
      <c r="U363" s="252"/>
      <c r="V363" s="252"/>
      <c r="W363" s="252"/>
      <c r="X363" s="252"/>
      <c r="Y363" s="252"/>
      <c r="Z363" s="252"/>
      <c r="AA363" s="252"/>
    </row>
    <row r="364" spans="21:27" x14ac:dyDescent="0.25">
      <c r="U364" s="252"/>
      <c r="V364" s="252"/>
      <c r="W364" s="252"/>
      <c r="X364" s="252"/>
      <c r="Y364" s="252"/>
      <c r="Z364" s="252"/>
      <c r="AA364" s="252"/>
    </row>
    <row r="365" spans="21:27" x14ac:dyDescent="0.25">
      <c r="U365" s="252"/>
      <c r="V365" s="252"/>
      <c r="W365" s="252"/>
      <c r="X365" s="252"/>
      <c r="Y365" s="252"/>
      <c r="Z365" s="252"/>
      <c r="AA365" s="252"/>
    </row>
    <row r="366" spans="21:27" x14ac:dyDescent="0.25">
      <c r="U366" s="252"/>
      <c r="V366" s="252"/>
      <c r="W366" s="252"/>
      <c r="X366" s="252"/>
      <c r="Y366" s="252"/>
      <c r="Z366" s="252"/>
      <c r="AA366" s="252"/>
    </row>
    <row r="367" spans="21:27" x14ac:dyDescent="0.25">
      <c r="U367" s="252"/>
      <c r="V367" s="252"/>
      <c r="W367" s="252"/>
      <c r="X367" s="252"/>
      <c r="Y367" s="252"/>
      <c r="Z367" s="252"/>
      <c r="AA367" s="252"/>
    </row>
    <row r="368" spans="21:27" x14ac:dyDescent="0.25">
      <c r="U368" s="252"/>
      <c r="V368" s="252"/>
      <c r="W368" s="252"/>
      <c r="X368" s="252"/>
      <c r="Y368" s="252"/>
      <c r="Z368" s="252"/>
      <c r="AA368" s="252"/>
    </row>
    <row r="369" spans="21:27" x14ac:dyDescent="0.25">
      <c r="U369" s="252"/>
      <c r="V369" s="252"/>
      <c r="W369" s="252"/>
      <c r="X369" s="252"/>
      <c r="Y369" s="252"/>
      <c r="Z369" s="252"/>
      <c r="AA369" s="252"/>
    </row>
    <row r="370" spans="21:27" x14ac:dyDescent="0.25">
      <c r="U370" s="252"/>
      <c r="V370" s="252"/>
      <c r="W370" s="252"/>
      <c r="X370" s="252"/>
      <c r="Y370" s="252"/>
      <c r="Z370" s="252"/>
      <c r="AA370" s="252"/>
    </row>
    <row r="371" spans="21:27" x14ac:dyDescent="0.25">
      <c r="U371" s="252"/>
      <c r="V371" s="252"/>
      <c r="W371" s="252"/>
      <c r="X371" s="252"/>
      <c r="Y371" s="252"/>
      <c r="Z371" s="252"/>
      <c r="AA371" s="252"/>
    </row>
    <row r="372" spans="21:27" x14ac:dyDescent="0.25">
      <c r="U372" s="252"/>
      <c r="V372" s="252"/>
      <c r="W372" s="252"/>
      <c r="X372" s="252"/>
      <c r="Y372" s="252"/>
      <c r="Z372" s="252"/>
      <c r="AA372" s="252"/>
    </row>
  </sheetData>
  <mergeCells count="78">
    <mergeCell ref="D2:Q2"/>
    <mergeCell ref="G3:N3"/>
    <mergeCell ref="R5:T5"/>
    <mergeCell ref="A6:A11"/>
    <mergeCell ref="B6:C11"/>
    <mergeCell ref="D6:F11"/>
    <mergeCell ref="G6:I11"/>
    <mergeCell ref="J6:L6"/>
    <mergeCell ref="M6:O6"/>
    <mergeCell ref="P6:R6"/>
    <mergeCell ref="J7:L7"/>
    <mergeCell ref="M7:O7"/>
    <mergeCell ref="P7:R7"/>
    <mergeCell ref="J8:L8"/>
    <mergeCell ref="M8:O8"/>
    <mergeCell ref="P8:R8"/>
    <mergeCell ref="J9:L9"/>
    <mergeCell ref="M9:O9"/>
    <mergeCell ref="P9:R9"/>
    <mergeCell ref="J10:L10"/>
    <mergeCell ref="M10:O10"/>
    <mergeCell ref="P10:R10"/>
    <mergeCell ref="J11:L11"/>
    <mergeCell ref="M11:O11"/>
    <mergeCell ref="B12:C12"/>
    <mergeCell ref="E12:E13"/>
    <mergeCell ref="F12:F13"/>
    <mergeCell ref="H12:H13"/>
    <mergeCell ref="I12:I13"/>
    <mergeCell ref="K12:K13"/>
    <mergeCell ref="L12:L13"/>
    <mergeCell ref="N12:N13"/>
    <mergeCell ref="B27:C27"/>
    <mergeCell ref="O12:O13"/>
    <mergeCell ref="Q12:Q13"/>
    <mergeCell ref="R12:R13"/>
    <mergeCell ref="B14:C14"/>
    <mergeCell ref="B16:C16"/>
    <mergeCell ref="B17:C17"/>
    <mergeCell ref="B15:C15"/>
    <mergeCell ref="B19:C19"/>
    <mergeCell ref="B20:C20"/>
    <mergeCell ref="B21:C21"/>
    <mergeCell ref="B23:C23"/>
    <mergeCell ref="B24:C24"/>
    <mergeCell ref="B25:C25"/>
    <mergeCell ref="B43:C43"/>
    <mergeCell ref="B28:C28"/>
    <mergeCell ref="B29:C29"/>
    <mergeCell ref="B31:C31"/>
    <mergeCell ref="B32:C32"/>
    <mergeCell ref="B33:C33"/>
    <mergeCell ref="B35:C35"/>
    <mergeCell ref="B36:C36"/>
    <mergeCell ref="B37:C37"/>
    <mergeCell ref="B39:C39"/>
    <mergeCell ref="B40:C40"/>
    <mergeCell ref="B41:C41"/>
    <mergeCell ref="B59:C59"/>
    <mergeCell ref="B44:C44"/>
    <mergeCell ref="B45:C45"/>
    <mergeCell ref="B47:C47"/>
    <mergeCell ref="B48:C48"/>
    <mergeCell ref="B49:C49"/>
    <mergeCell ref="B51:C51"/>
    <mergeCell ref="B52:C52"/>
    <mergeCell ref="B53:C53"/>
    <mergeCell ref="B55:C55"/>
    <mergeCell ref="B56:C56"/>
    <mergeCell ref="B57:C57"/>
    <mergeCell ref="B68:C68"/>
    <mergeCell ref="B69:C69"/>
    <mergeCell ref="B60:C60"/>
    <mergeCell ref="B61:C61"/>
    <mergeCell ref="B63:C63"/>
    <mergeCell ref="B64:C64"/>
    <mergeCell ref="B65:C65"/>
    <mergeCell ref="B67:C67"/>
  </mergeCells>
  <pageMargins left="0" right="0" top="0" bottom="0" header="0" footer="0"/>
  <pageSetup paperSize="9" scale="7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1"/>
  <sheetViews>
    <sheetView topLeftCell="E61" zoomScaleNormal="100" workbookViewId="0">
      <selection activeCell="Y71" sqref="Y71"/>
    </sheetView>
  </sheetViews>
  <sheetFormatPr defaultRowHeight="15" x14ac:dyDescent="0.25"/>
  <cols>
    <col min="1" max="1" width="6.140625" customWidth="1"/>
    <col min="2" max="2" width="13.5703125" bestFit="1" customWidth="1"/>
    <col min="3" max="3" width="11.85546875" customWidth="1"/>
    <col min="4" max="4" width="10.5703125" customWidth="1"/>
    <col min="5" max="5" width="13.140625" customWidth="1"/>
    <col min="6" max="6" width="12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9.8554687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19" max="19" width="12.42578125" bestFit="1" customWidth="1"/>
    <col min="21" max="21" width="14.42578125" customWidth="1"/>
    <col min="22" max="22" width="13.42578125" customWidth="1"/>
    <col min="23" max="23" width="15.7109375" customWidth="1"/>
    <col min="24" max="24" width="14.42578125" customWidth="1"/>
    <col min="25" max="25" width="13.28515625" bestFit="1" customWidth="1"/>
    <col min="26" max="26" width="13.5703125" bestFit="1" customWidth="1"/>
    <col min="27" max="27" width="10.42578125" customWidth="1"/>
  </cols>
  <sheetData>
    <row r="1" spans="1:26" x14ac:dyDescent="0.25">
      <c r="R1" s="26" t="s">
        <v>24</v>
      </c>
      <c r="S1" s="26"/>
    </row>
    <row r="2" spans="1:26" ht="18.75" x14ac:dyDescent="0.25">
      <c r="D2" s="736" t="s">
        <v>26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</row>
    <row r="3" spans="1:26" ht="24.75" customHeight="1" x14ac:dyDescent="0.25">
      <c r="F3" s="62"/>
      <c r="G3" s="736" t="s">
        <v>132</v>
      </c>
      <c r="H3" s="737"/>
      <c r="I3" s="737"/>
      <c r="J3" s="737"/>
      <c r="K3" s="737"/>
      <c r="L3" s="737"/>
      <c r="M3" s="737"/>
      <c r="N3" s="737"/>
      <c r="O3" s="62"/>
      <c r="P3" s="62"/>
    </row>
    <row r="4" spans="1:26" ht="12" customHeight="1" thickBot="1" x14ac:dyDescent="0.3">
      <c r="D4" s="18"/>
      <c r="E4" s="19"/>
      <c r="F4" s="19"/>
      <c r="G4" s="15"/>
      <c r="H4" s="19"/>
      <c r="I4" s="15"/>
      <c r="R4" s="739" t="s">
        <v>27</v>
      </c>
      <c r="S4" s="739"/>
      <c r="T4" s="739"/>
    </row>
    <row r="5" spans="1:26" ht="15" customHeight="1" x14ac:dyDescent="0.25">
      <c r="A5" s="766" t="s">
        <v>28</v>
      </c>
      <c r="B5" s="754" t="s">
        <v>29</v>
      </c>
      <c r="C5" s="755"/>
      <c r="D5" s="771" t="s">
        <v>2</v>
      </c>
      <c r="E5" s="754"/>
      <c r="F5" s="755"/>
      <c r="G5" s="754" t="s">
        <v>3</v>
      </c>
      <c r="H5" s="754"/>
      <c r="I5" s="755"/>
      <c r="J5" s="773"/>
      <c r="K5" s="774"/>
      <c r="L5" s="775"/>
      <c r="M5" s="771"/>
      <c r="N5" s="754"/>
      <c r="O5" s="754"/>
      <c r="P5" s="771"/>
      <c r="Q5" s="754"/>
      <c r="R5" s="755"/>
      <c r="S5" s="123"/>
      <c r="T5" s="124"/>
    </row>
    <row r="6" spans="1:26" ht="15" customHeight="1" x14ac:dyDescent="0.25">
      <c r="A6" s="767"/>
      <c r="B6" s="758"/>
      <c r="C6" s="759"/>
      <c r="D6" s="757"/>
      <c r="E6" s="758"/>
      <c r="F6" s="759"/>
      <c r="G6" s="758"/>
      <c r="H6" s="758"/>
      <c r="I6" s="759"/>
      <c r="J6" s="757"/>
      <c r="K6" s="758"/>
      <c r="L6" s="759"/>
      <c r="M6" s="757"/>
      <c r="N6" s="758"/>
      <c r="O6" s="758"/>
      <c r="P6" s="757"/>
      <c r="Q6" s="758"/>
      <c r="R6" s="759"/>
      <c r="S6" s="125"/>
      <c r="T6" s="126"/>
    </row>
    <row r="7" spans="1:26" x14ac:dyDescent="0.25">
      <c r="A7" s="767"/>
      <c r="B7" s="758"/>
      <c r="C7" s="759"/>
      <c r="D7" s="757"/>
      <c r="E7" s="758"/>
      <c r="F7" s="759"/>
      <c r="G7" s="758"/>
      <c r="H7" s="758"/>
      <c r="I7" s="759"/>
      <c r="J7" s="757"/>
      <c r="K7" s="758"/>
      <c r="L7" s="759"/>
      <c r="M7" s="757"/>
      <c r="N7" s="758"/>
      <c r="O7" s="758"/>
      <c r="P7" s="757"/>
      <c r="Q7" s="758"/>
      <c r="R7" s="759"/>
      <c r="S7" s="125"/>
      <c r="T7" s="126"/>
    </row>
    <row r="8" spans="1:26" ht="15" customHeight="1" x14ac:dyDescent="0.25">
      <c r="A8" s="767"/>
      <c r="B8" s="758"/>
      <c r="C8" s="759"/>
      <c r="D8" s="757"/>
      <c r="E8" s="758"/>
      <c r="F8" s="759"/>
      <c r="G8" s="758"/>
      <c r="H8" s="758"/>
      <c r="I8" s="759"/>
      <c r="J8" s="757" t="s">
        <v>4</v>
      </c>
      <c r="K8" s="758"/>
      <c r="L8" s="758"/>
      <c r="M8" s="757" t="s">
        <v>0</v>
      </c>
      <c r="N8" s="758"/>
      <c r="O8" s="759"/>
      <c r="P8" s="757" t="s">
        <v>5</v>
      </c>
      <c r="Q8" s="758"/>
      <c r="R8" s="759"/>
      <c r="S8" s="125"/>
      <c r="T8" s="126"/>
    </row>
    <row r="9" spans="1:26" x14ac:dyDescent="0.25">
      <c r="A9" s="767"/>
      <c r="B9" s="758"/>
      <c r="C9" s="759"/>
      <c r="D9" s="757"/>
      <c r="E9" s="758"/>
      <c r="F9" s="759"/>
      <c r="G9" s="758"/>
      <c r="H9" s="758"/>
      <c r="I9" s="759"/>
      <c r="J9" s="760"/>
      <c r="K9" s="761"/>
      <c r="L9" s="762"/>
      <c r="M9" s="763"/>
      <c r="N9" s="764"/>
      <c r="O9" s="765"/>
      <c r="P9" s="763"/>
      <c r="Q9" s="764"/>
      <c r="R9" s="765"/>
      <c r="S9" s="125"/>
      <c r="T9" s="126"/>
    </row>
    <row r="10" spans="1:26" ht="15.75" thickBot="1" x14ac:dyDescent="0.3">
      <c r="A10" s="768"/>
      <c r="B10" s="769"/>
      <c r="C10" s="770"/>
      <c r="D10" s="772"/>
      <c r="E10" s="769"/>
      <c r="F10" s="770"/>
      <c r="G10" s="769"/>
      <c r="H10" s="769"/>
      <c r="I10" s="770"/>
      <c r="J10" s="751"/>
      <c r="K10" s="752"/>
      <c r="L10" s="753"/>
      <c r="M10" s="751"/>
      <c r="N10" s="752"/>
      <c r="O10" s="752"/>
      <c r="P10" s="127"/>
      <c r="Q10" s="128"/>
      <c r="R10" s="129"/>
      <c r="S10" s="130"/>
      <c r="T10" s="464"/>
      <c r="U10" s="27"/>
      <c r="V10" s="27"/>
    </row>
    <row r="11" spans="1:26" ht="72" customHeight="1" thickBot="1" x14ac:dyDescent="0.3">
      <c r="A11" s="462"/>
      <c r="B11" s="754" t="s">
        <v>30</v>
      </c>
      <c r="C11" s="755"/>
      <c r="D11" s="133" t="s">
        <v>37</v>
      </c>
      <c r="E11" s="749" t="s">
        <v>9</v>
      </c>
      <c r="F11" s="747" t="s">
        <v>39</v>
      </c>
      <c r="G11" s="133" t="s">
        <v>38</v>
      </c>
      <c r="H11" s="749" t="s">
        <v>9</v>
      </c>
      <c r="I11" s="747" t="s">
        <v>39</v>
      </c>
      <c r="J11" s="133" t="s">
        <v>38</v>
      </c>
      <c r="K11" s="749" t="s">
        <v>11</v>
      </c>
      <c r="L11" s="747" t="s">
        <v>39</v>
      </c>
      <c r="M11" s="133" t="s">
        <v>38</v>
      </c>
      <c r="N11" s="749" t="s">
        <v>9</v>
      </c>
      <c r="O11" s="747" t="s">
        <v>39</v>
      </c>
      <c r="P11" s="133" t="s">
        <v>38</v>
      </c>
      <c r="Q11" s="749" t="s">
        <v>9</v>
      </c>
      <c r="R11" s="747" t="s">
        <v>39</v>
      </c>
      <c r="S11" s="134" t="s">
        <v>17</v>
      </c>
      <c r="T11" s="463" t="s">
        <v>18</v>
      </c>
      <c r="U11" s="27"/>
      <c r="V11" s="27"/>
    </row>
    <row r="12" spans="1:26" ht="15.75" hidden="1" customHeight="1" thickBot="1" x14ac:dyDescent="0.3">
      <c r="A12" s="462"/>
      <c r="B12" s="136"/>
      <c r="C12" s="136"/>
      <c r="D12" s="137" t="s">
        <v>8</v>
      </c>
      <c r="E12" s="756"/>
      <c r="F12" s="748"/>
      <c r="G12" s="138" t="s">
        <v>8</v>
      </c>
      <c r="H12" s="750"/>
      <c r="I12" s="748"/>
      <c r="J12" s="138" t="s">
        <v>8</v>
      </c>
      <c r="K12" s="750"/>
      <c r="L12" s="748"/>
      <c r="M12" s="138" t="s">
        <v>8</v>
      </c>
      <c r="N12" s="750"/>
      <c r="O12" s="748"/>
      <c r="P12" s="138" t="s">
        <v>8</v>
      </c>
      <c r="Q12" s="750"/>
      <c r="R12" s="748"/>
      <c r="S12" s="134"/>
      <c r="T12" s="134"/>
      <c r="U12" s="27"/>
      <c r="V12" s="27"/>
    </row>
    <row r="13" spans="1:26" ht="15.75" thickBot="1" x14ac:dyDescent="0.3">
      <c r="A13" s="63">
        <v>1</v>
      </c>
      <c r="B13" s="734">
        <v>2</v>
      </c>
      <c r="C13" s="735"/>
      <c r="D13" s="461">
        <v>3</v>
      </c>
      <c r="E13" s="458">
        <v>4</v>
      </c>
      <c r="F13" s="460">
        <v>5</v>
      </c>
      <c r="G13" s="459">
        <v>6</v>
      </c>
      <c r="H13" s="460">
        <v>7</v>
      </c>
      <c r="I13" s="460">
        <v>8</v>
      </c>
      <c r="J13" s="460">
        <v>9</v>
      </c>
      <c r="K13" s="460">
        <v>10</v>
      </c>
      <c r="L13" s="460">
        <v>11</v>
      </c>
      <c r="M13" s="460">
        <v>12</v>
      </c>
      <c r="N13" s="460">
        <v>13</v>
      </c>
      <c r="O13" s="460">
        <v>14</v>
      </c>
      <c r="P13" s="460">
        <v>15</v>
      </c>
      <c r="Q13" s="460">
        <v>16</v>
      </c>
      <c r="R13" s="460">
        <v>17</v>
      </c>
      <c r="S13" s="461">
        <v>18</v>
      </c>
      <c r="T13" s="461">
        <v>19</v>
      </c>
      <c r="U13" s="27"/>
      <c r="V13" s="27"/>
    </row>
    <row r="14" spans="1:26" ht="15" customHeight="1" x14ac:dyDescent="0.25">
      <c r="A14" s="89" t="s">
        <v>31</v>
      </c>
      <c r="B14" s="148" t="s">
        <v>32</v>
      </c>
      <c r="C14" s="149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52"/>
      <c r="V14" s="152"/>
      <c r="W14" s="46"/>
    </row>
    <row r="15" spans="1:26" ht="35.25" customHeight="1" x14ac:dyDescent="0.25">
      <c r="A15" s="90"/>
      <c r="B15" s="726" t="s">
        <v>73</v>
      </c>
      <c r="C15" s="727"/>
      <c r="D15" s="92">
        <v>10693.7</v>
      </c>
      <c r="E15" s="92">
        <v>9592.6</v>
      </c>
      <c r="F15" s="92">
        <f>D15-E15</f>
        <v>1101.1000000000004</v>
      </c>
      <c r="G15" s="91"/>
      <c r="H15" s="91"/>
      <c r="I15" s="91"/>
      <c r="J15" s="91"/>
      <c r="K15" s="91"/>
      <c r="L15" s="91"/>
      <c r="M15" s="92"/>
      <c r="N15" s="92"/>
      <c r="O15" s="91">
        <f>M15-N15</f>
        <v>0</v>
      </c>
      <c r="P15" s="92">
        <v>736.4</v>
      </c>
      <c r="Q15" s="92">
        <v>736.4</v>
      </c>
      <c r="R15" s="91">
        <f>P15-Q15</f>
        <v>0</v>
      </c>
      <c r="S15" s="91">
        <f>F15+I15+L15+O15+R15</f>
        <v>1101.1000000000004</v>
      </c>
      <c r="T15" s="576">
        <f>S15-F15</f>
        <v>0</v>
      </c>
      <c r="U15" s="215">
        <f>D15+G15+J15+M15+P15</f>
        <v>11430.1</v>
      </c>
      <c r="V15" s="215">
        <f>E15+H15+K15+N15+Q15</f>
        <v>10329</v>
      </c>
      <c r="W15" s="46"/>
      <c r="Y15" s="218">
        <f>M15+P15</f>
        <v>736.4</v>
      </c>
    </row>
    <row r="16" spans="1:26" ht="36" customHeight="1" thickBot="1" x14ac:dyDescent="0.3">
      <c r="A16" s="53"/>
      <c r="B16" s="730" t="s">
        <v>74</v>
      </c>
      <c r="C16" s="731"/>
      <c r="D16" s="75">
        <v>6059.6</v>
      </c>
      <c r="E16" s="75">
        <v>6038.6</v>
      </c>
      <c r="F16" s="75">
        <f>D16-E16</f>
        <v>21</v>
      </c>
      <c r="G16" s="75"/>
      <c r="H16" s="75"/>
      <c r="I16" s="75">
        <f>G16-H16</f>
        <v>0</v>
      </c>
      <c r="J16" s="75"/>
      <c r="K16" s="75"/>
      <c r="L16" s="75"/>
      <c r="M16" s="75"/>
      <c r="N16" s="75"/>
      <c r="O16" s="75"/>
      <c r="P16" s="75"/>
      <c r="Q16" s="75"/>
      <c r="R16" s="75">
        <f t="shared" ref="R16:R69" si="0">P16-Q16</f>
        <v>0</v>
      </c>
      <c r="S16" s="75">
        <f t="shared" ref="S16:S40" si="1">F16+I16+L16+O16+R16</f>
        <v>21</v>
      </c>
      <c r="T16" s="576">
        <f t="shared" ref="T16:T17" si="2">S16-F16</f>
        <v>0</v>
      </c>
      <c r="U16" s="152">
        <f t="shared" ref="U16:V47" si="3">D16+G16+J16+M16+P16</f>
        <v>6059.6</v>
      </c>
      <c r="V16" s="152">
        <f t="shared" si="3"/>
        <v>6038.6</v>
      </c>
      <c r="W16" s="201" t="s">
        <v>79</v>
      </c>
      <c r="X16" s="80">
        <f>E17+H17+J17</f>
        <v>15631.2</v>
      </c>
      <c r="Y16" s="26" t="s">
        <v>80</v>
      </c>
      <c r="Z16" s="80">
        <f>N17+Q17</f>
        <v>736.4</v>
      </c>
    </row>
    <row r="17" spans="1:26" ht="15" customHeight="1" thickBot="1" x14ac:dyDescent="0.3">
      <c r="A17" s="93"/>
      <c r="B17" s="94" t="s">
        <v>23</v>
      </c>
      <c r="C17" s="61"/>
      <c r="D17" s="71">
        <f>D15+D16</f>
        <v>16753.300000000003</v>
      </c>
      <c r="E17" s="71">
        <f>E15+E16</f>
        <v>15631.2</v>
      </c>
      <c r="F17" s="77">
        <f>D17-E17</f>
        <v>1122.1000000000022</v>
      </c>
      <c r="G17" s="73">
        <f t="shared" ref="G17:R17" si="4">G16+G14</f>
        <v>0</v>
      </c>
      <c r="H17" s="73">
        <f t="shared" si="4"/>
        <v>0</v>
      </c>
      <c r="I17" s="72">
        <f t="shared" si="4"/>
        <v>0</v>
      </c>
      <c r="J17" s="73">
        <f t="shared" si="4"/>
        <v>0</v>
      </c>
      <c r="K17" s="73">
        <f t="shared" si="4"/>
        <v>0</v>
      </c>
      <c r="L17" s="72">
        <f t="shared" si="4"/>
        <v>0</v>
      </c>
      <c r="M17" s="73">
        <f>M15</f>
        <v>0</v>
      </c>
      <c r="N17" s="73">
        <f>N15</f>
        <v>0</v>
      </c>
      <c r="O17" s="72">
        <f>O15</f>
        <v>0</v>
      </c>
      <c r="P17" s="73">
        <f>P15</f>
        <v>736.4</v>
      </c>
      <c r="Q17" s="73">
        <f>Q15</f>
        <v>736.4</v>
      </c>
      <c r="R17" s="72">
        <f t="shared" si="4"/>
        <v>0</v>
      </c>
      <c r="S17" s="104">
        <f>S16+S15</f>
        <v>1122.1000000000004</v>
      </c>
      <c r="T17" s="576">
        <f t="shared" si="2"/>
        <v>-1.8189894035458565E-12</v>
      </c>
      <c r="U17" s="465">
        <f t="shared" si="3"/>
        <v>17489.700000000004</v>
      </c>
      <c r="V17" s="465">
        <f>E17+H17+K17+N17+Q17</f>
        <v>16367.6</v>
      </c>
      <c r="W17" s="323">
        <f>S17/(D17+G17+J17+M17+P17)</f>
        <v>6.4157761425296042E-2</v>
      </c>
      <c r="X17" s="46"/>
      <c r="Y17" s="323">
        <f>S17/(D17+G17+J17)</f>
        <v>6.697784914016941E-2</v>
      </c>
    </row>
    <row r="18" spans="1:26" x14ac:dyDescent="0.25">
      <c r="A18" s="33" t="s">
        <v>33</v>
      </c>
      <c r="B18" s="150" t="s">
        <v>34</v>
      </c>
      <c r="C18" s="15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152">
        <f t="shared" si="3"/>
        <v>0</v>
      </c>
      <c r="V18" s="152">
        <f t="shared" si="3"/>
        <v>0</v>
      </c>
      <c r="W18" s="465">
        <f>U17-V17</f>
        <v>1122.100000000004</v>
      </c>
      <c r="X18" s="80">
        <f>V17-Z16</f>
        <v>15631.2</v>
      </c>
      <c r="Y18" s="46"/>
    </row>
    <row r="19" spans="1:26" ht="36.75" customHeight="1" x14ac:dyDescent="0.25">
      <c r="A19" s="33"/>
      <c r="B19" s="726" t="s">
        <v>73</v>
      </c>
      <c r="C19" s="727"/>
      <c r="D19" s="92">
        <v>19584.599999999999</v>
      </c>
      <c r="E19" s="92">
        <v>15779.4</v>
      </c>
      <c r="F19" s="92">
        <f t="shared" ref="F19:F40" si="5">D19-E19</f>
        <v>3805.1999999999989</v>
      </c>
      <c r="G19" s="92"/>
      <c r="H19" s="92"/>
      <c r="I19" s="92">
        <f t="shared" ref="I19:I69" si="6">G19-H19</f>
        <v>0</v>
      </c>
      <c r="J19" s="92"/>
      <c r="K19" s="92"/>
      <c r="L19" s="92">
        <f>J19-K19</f>
        <v>0</v>
      </c>
      <c r="M19" s="92"/>
      <c r="N19" s="92"/>
      <c r="O19" s="92">
        <f>M19-N19</f>
        <v>0</v>
      </c>
      <c r="P19" s="92">
        <v>13818.5</v>
      </c>
      <c r="Q19" s="92">
        <v>13818.5</v>
      </c>
      <c r="R19" s="92">
        <f t="shared" ref="R19" si="7">P19-Q19</f>
        <v>0</v>
      </c>
      <c r="S19" s="92">
        <f t="shared" ref="S19" si="8">F19+I19+L19+O19+R19</f>
        <v>3805.1999999999989</v>
      </c>
      <c r="T19" s="92"/>
      <c r="U19" s="152">
        <f t="shared" si="3"/>
        <v>33403.1</v>
      </c>
      <c r="V19" s="152">
        <f t="shared" si="3"/>
        <v>29597.9</v>
      </c>
      <c r="W19" s="46"/>
      <c r="X19" s="46"/>
      <c r="Y19" s="80">
        <f>M19+P19</f>
        <v>13818.5</v>
      </c>
    </row>
    <row r="20" spans="1:26" ht="36" customHeight="1" thickBot="1" x14ac:dyDescent="0.3">
      <c r="A20" s="33"/>
      <c r="B20" s="730" t="s">
        <v>74</v>
      </c>
      <c r="C20" s="731"/>
      <c r="D20" s="75">
        <v>64862.2</v>
      </c>
      <c r="E20" s="75">
        <v>63993.9</v>
      </c>
      <c r="F20" s="75">
        <f t="shared" si="5"/>
        <v>868.29999999999563</v>
      </c>
      <c r="G20" s="75"/>
      <c r="H20" s="75"/>
      <c r="I20" s="75">
        <f t="shared" si="6"/>
        <v>0</v>
      </c>
      <c r="J20" s="75"/>
      <c r="K20" s="75"/>
      <c r="L20" s="75"/>
      <c r="M20" s="75"/>
      <c r="N20" s="75"/>
      <c r="O20" s="75"/>
      <c r="P20" s="75"/>
      <c r="Q20" s="75"/>
      <c r="R20" s="75">
        <f t="shared" si="0"/>
        <v>0</v>
      </c>
      <c r="S20" s="75">
        <f t="shared" si="1"/>
        <v>868.29999999999563</v>
      </c>
      <c r="T20" s="75"/>
      <c r="U20" s="152">
        <f t="shared" si="3"/>
        <v>64862.2</v>
      </c>
      <c r="V20" s="152">
        <f t="shared" si="3"/>
        <v>63993.9</v>
      </c>
      <c r="W20" s="46"/>
      <c r="X20" s="46"/>
      <c r="Y20" s="46"/>
    </row>
    <row r="21" spans="1:26" ht="15.75" customHeight="1" thickBot="1" x14ac:dyDescent="0.3">
      <c r="A21" s="66"/>
      <c r="B21" s="94" t="s">
        <v>23</v>
      </c>
      <c r="C21" s="61"/>
      <c r="D21" s="88">
        <f>D19+D20</f>
        <v>84446.799999999988</v>
      </c>
      <c r="E21" s="76">
        <f>E19+E20</f>
        <v>79773.3</v>
      </c>
      <c r="F21" s="77">
        <f>D21-E21</f>
        <v>4673.4999999999854</v>
      </c>
      <c r="G21" s="76">
        <f>G19+G20</f>
        <v>0</v>
      </c>
      <c r="H21" s="76">
        <f>H19+H20</f>
        <v>0</v>
      </c>
      <c r="I21" s="77">
        <f t="shared" ref="I21:Q21" si="9">I19</f>
        <v>0</v>
      </c>
      <c r="J21" s="76">
        <f t="shared" si="9"/>
        <v>0</v>
      </c>
      <c r="K21" s="76">
        <f t="shared" si="9"/>
        <v>0</v>
      </c>
      <c r="L21" s="77">
        <f t="shared" si="9"/>
        <v>0</v>
      </c>
      <c r="M21" s="76">
        <f t="shared" si="9"/>
        <v>0</v>
      </c>
      <c r="N21" s="76">
        <f t="shared" si="9"/>
        <v>0</v>
      </c>
      <c r="O21" s="77">
        <f t="shared" si="9"/>
        <v>0</v>
      </c>
      <c r="P21" s="76">
        <f t="shared" si="9"/>
        <v>13818.5</v>
      </c>
      <c r="Q21" s="76">
        <f t="shared" si="9"/>
        <v>13818.5</v>
      </c>
      <c r="R21" s="77">
        <f t="shared" ref="R21" si="10">R18+R20</f>
        <v>0</v>
      </c>
      <c r="S21" s="104">
        <f>S19+S20</f>
        <v>4673.4999999999945</v>
      </c>
      <c r="T21" s="60"/>
      <c r="U21" s="465">
        <f>D21+G21+J21+M21+P21</f>
        <v>98265.299999999988</v>
      </c>
      <c r="V21" s="465">
        <f>E21+H21+K21+N21+Q21</f>
        <v>93591.8</v>
      </c>
      <c r="W21" s="323">
        <f>S21/(D21+G21+J21+M21+P21)</f>
        <v>4.7560023731673284E-2</v>
      </c>
      <c r="X21" s="80">
        <f>E21+H21+K21</f>
        <v>79773.3</v>
      </c>
      <c r="Y21" s="323">
        <f>S21/(D21+G21+J21)</f>
        <v>5.5342535181913288E-2</v>
      </c>
      <c r="Z21" s="2">
        <f>N21+Q21</f>
        <v>13818.5</v>
      </c>
    </row>
    <row r="22" spans="1:26" ht="16.5" customHeight="1" x14ac:dyDescent="0.25">
      <c r="A22" s="33" t="s">
        <v>36</v>
      </c>
      <c r="B22" s="745" t="s">
        <v>35</v>
      </c>
      <c r="C22" s="74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52">
        <f t="shared" si="3"/>
        <v>0</v>
      </c>
      <c r="V22" s="152">
        <f t="shared" si="3"/>
        <v>0</v>
      </c>
      <c r="W22" s="465">
        <f>U21-V21</f>
        <v>4673.4999999999854</v>
      </c>
      <c r="X22" s="80">
        <f>V21-Z21</f>
        <v>79773.3</v>
      </c>
      <c r="Y22" s="46"/>
    </row>
    <row r="23" spans="1:26" ht="35.25" customHeight="1" thickBot="1" x14ac:dyDescent="0.3">
      <c r="A23" s="33"/>
      <c r="B23" s="726" t="s">
        <v>73</v>
      </c>
      <c r="C23" s="727"/>
      <c r="D23" s="92">
        <v>5154.3999999999996</v>
      </c>
      <c r="E23" s="92">
        <v>4196</v>
      </c>
      <c r="F23" s="75">
        <f>D23-E23</f>
        <v>958.39999999999964</v>
      </c>
      <c r="G23" s="92"/>
      <c r="H23" s="92"/>
      <c r="I23" s="92">
        <f>G23-H23</f>
        <v>0</v>
      </c>
      <c r="J23" s="92"/>
      <c r="K23" s="92"/>
      <c r="L23" s="92">
        <f>J23-K23</f>
        <v>0</v>
      </c>
      <c r="M23" s="92"/>
      <c r="N23" s="92"/>
      <c r="O23" s="92"/>
      <c r="P23" s="92">
        <v>1130</v>
      </c>
      <c r="Q23" s="92">
        <v>1130</v>
      </c>
      <c r="R23" s="92">
        <f>P23-Q23</f>
        <v>0</v>
      </c>
      <c r="S23" s="75">
        <f t="shared" si="1"/>
        <v>958.39999999999964</v>
      </c>
      <c r="T23" s="92"/>
      <c r="U23" s="152">
        <f t="shared" si="3"/>
        <v>6284.4</v>
      </c>
      <c r="V23" s="152">
        <f t="shared" si="3"/>
        <v>5326</v>
      </c>
      <c r="W23" s="46"/>
      <c r="X23" s="46"/>
      <c r="Y23" s="46"/>
    </row>
    <row r="24" spans="1:26" ht="34.5" customHeight="1" thickBot="1" x14ac:dyDescent="0.3">
      <c r="A24" s="33"/>
      <c r="B24" s="730" t="s">
        <v>74</v>
      </c>
      <c r="C24" s="731"/>
      <c r="D24" s="75">
        <v>228386.9</v>
      </c>
      <c r="E24" s="75">
        <v>220393.4</v>
      </c>
      <c r="F24" s="75">
        <f t="shared" si="5"/>
        <v>7993.5</v>
      </c>
      <c r="G24" s="75"/>
      <c r="H24" s="75"/>
      <c r="I24" s="75">
        <f t="shared" si="6"/>
        <v>0</v>
      </c>
      <c r="J24" s="75"/>
      <c r="K24" s="75"/>
      <c r="L24" s="75"/>
      <c r="M24" s="75"/>
      <c r="N24" s="75"/>
      <c r="O24" s="75"/>
      <c r="P24" s="75"/>
      <c r="Q24" s="75"/>
      <c r="R24" s="75">
        <f t="shared" si="0"/>
        <v>0</v>
      </c>
      <c r="S24" s="75">
        <f t="shared" si="1"/>
        <v>7993.5</v>
      </c>
      <c r="T24" s="75"/>
      <c r="U24" s="152">
        <f t="shared" si="3"/>
        <v>228386.9</v>
      </c>
      <c r="V24" s="152">
        <f t="shared" si="3"/>
        <v>220393.4</v>
      </c>
      <c r="W24" s="46"/>
      <c r="X24" s="80">
        <f>E25+H25+K25</f>
        <v>224589.4</v>
      </c>
      <c r="Y24" s="46"/>
      <c r="Z24" s="2">
        <f>N25+Q25</f>
        <v>1130</v>
      </c>
    </row>
    <row r="25" spans="1:26" ht="15.75" thickBot="1" x14ac:dyDescent="0.3">
      <c r="A25" s="66"/>
      <c r="B25" s="64" t="s">
        <v>23</v>
      </c>
      <c r="C25" s="59"/>
      <c r="D25" s="76">
        <f>D23+D24</f>
        <v>233541.3</v>
      </c>
      <c r="E25" s="76">
        <f>E23+E24</f>
        <v>224589.4</v>
      </c>
      <c r="F25" s="77">
        <f>D25-E25</f>
        <v>8951.8999999999942</v>
      </c>
      <c r="G25" s="76">
        <f>SUM(G23:G24)</f>
        <v>0</v>
      </c>
      <c r="H25" s="76">
        <f>SUM(H23:H24)</f>
        <v>0</v>
      </c>
      <c r="I25" s="77">
        <f>I23+I24</f>
        <v>0</v>
      </c>
      <c r="J25" s="76">
        <f>J23+J24</f>
        <v>0</v>
      </c>
      <c r="K25" s="76">
        <f t="shared" ref="K25:L25" si="11">K23+K24</f>
        <v>0</v>
      </c>
      <c r="L25" s="77">
        <f t="shared" si="11"/>
        <v>0</v>
      </c>
      <c r="M25" s="76">
        <f t="shared" ref="M25:O25" si="12">M22+M24</f>
        <v>0</v>
      </c>
      <c r="N25" s="76">
        <f t="shared" si="12"/>
        <v>0</v>
      </c>
      <c r="O25" s="77">
        <f t="shared" si="12"/>
        <v>0</v>
      </c>
      <c r="P25" s="76">
        <f>P23</f>
        <v>1130</v>
      </c>
      <c r="Q25" s="76">
        <f>Q23</f>
        <v>1130</v>
      </c>
      <c r="R25" s="77">
        <f>R23</f>
        <v>0</v>
      </c>
      <c r="S25" s="104">
        <f>S23+S24</f>
        <v>8951.9</v>
      </c>
      <c r="T25" s="193"/>
      <c r="U25" s="465">
        <f t="shared" si="3"/>
        <v>234671.3</v>
      </c>
      <c r="V25" s="465">
        <f t="shared" si="3"/>
        <v>225719.4</v>
      </c>
      <c r="W25" s="323">
        <f>S25/(D25+G25+J25+M25+P25)</f>
        <v>3.8146547958783202E-2</v>
      </c>
      <c r="X25" s="80">
        <f>V25-Z24</f>
        <v>224589.4</v>
      </c>
      <c r="Y25" s="323">
        <f>S25/(D25+G25+J25)</f>
        <v>3.833112173307248E-2</v>
      </c>
    </row>
    <row r="26" spans="1:26" x14ac:dyDescent="0.25">
      <c r="A26" s="33" t="s">
        <v>42</v>
      </c>
      <c r="B26" s="745" t="s">
        <v>41</v>
      </c>
      <c r="C26" s="74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52">
        <f t="shared" si="3"/>
        <v>0</v>
      </c>
      <c r="V26" s="152">
        <f t="shared" si="3"/>
        <v>0</v>
      </c>
      <c r="W26" s="465">
        <f>U25-V25</f>
        <v>8951.8999999999942</v>
      </c>
      <c r="X26" s="46"/>
      <c r="Y26" s="46"/>
    </row>
    <row r="27" spans="1:26" ht="34.5" customHeight="1" x14ac:dyDescent="0.25">
      <c r="A27" s="33"/>
      <c r="B27" s="726" t="s">
        <v>73</v>
      </c>
      <c r="C27" s="727"/>
      <c r="D27" s="92">
        <v>12177.3</v>
      </c>
      <c r="E27" s="92">
        <v>10287.299999999999</v>
      </c>
      <c r="F27" s="92">
        <f t="shared" si="5"/>
        <v>1890</v>
      </c>
      <c r="G27" s="92"/>
      <c r="H27" s="92"/>
      <c r="I27" s="92">
        <f>G27-H27</f>
        <v>0</v>
      </c>
      <c r="J27" s="489">
        <v>1900</v>
      </c>
      <c r="K27" s="92"/>
      <c r="L27" s="92"/>
      <c r="M27" s="92"/>
      <c r="N27" s="92"/>
      <c r="O27" s="92"/>
      <c r="P27" s="92">
        <v>1500</v>
      </c>
      <c r="Q27" s="92">
        <v>1500</v>
      </c>
      <c r="R27" s="92">
        <f t="shared" si="0"/>
        <v>0</v>
      </c>
      <c r="S27" s="92">
        <f t="shared" si="1"/>
        <v>1890</v>
      </c>
      <c r="T27" s="92"/>
      <c r="U27" s="152">
        <f>D27+G27+J27+M27+P27</f>
        <v>15577.3</v>
      </c>
      <c r="V27" s="152">
        <f>E27+H27+K27+N27+Q27</f>
        <v>11787.3</v>
      </c>
      <c r="W27" s="46"/>
      <c r="X27" s="46"/>
      <c r="Y27" s="46"/>
    </row>
    <row r="28" spans="1:26" ht="33.75" customHeight="1" thickBot="1" x14ac:dyDescent="0.3">
      <c r="A28" s="33"/>
      <c r="B28" s="730" t="s">
        <v>74</v>
      </c>
      <c r="C28" s="731"/>
      <c r="D28" s="92">
        <v>5141.2</v>
      </c>
      <c r="E28" s="92">
        <v>5141.2</v>
      </c>
      <c r="F28" s="92">
        <f t="shared" si="5"/>
        <v>0</v>
      </c>
      <c r="G28" s="92"/>
      <c r="H28" s="92"/>
      <c r="I28" s="75">
        <f>G28-H28</f>
        <v>0</v>
      </c>
      <c r="J28" s="490">
        <v>1900</v>
      </c>
      <c r="K28" s="75"/>
      <c r="L28" s="75"/>
      <c r="M28" s="92"/>
      <c r="N28" s="92"/>
      <c r="O28" s="92">
        <f>M28-N28</f>
        <v>0</v>
      </c>
      <c r="P28" s="75"/>
      <c r="Q28" s="75"/>
      <c r="R28" s="75">
        <f t="shared" si="0"/>
        <v>0</v>
      </c>
      <c r="S28" s="75">
        <f t="shared" si="1"/>
        <v>0</v>
      </c>
      <c r="T28" s="75"/>
      <c r="U28" s="152">
        <f>D28+G28+J28+M28+P28</f>
        <v>7041.2</v>
      </c>
      <c r="V28" s="152">
        <f>E28+H28+K28+N28+Q28</f>
        <v>5141.2</v>
      </c>
      <c r="W28" s="46"/>
      <c r="X28" s="46"/>
      <c r="Y28" s="46"/>
    </row>
    <row r="29" spans="1:26" ht="15.75" thickBot="1" x14ac:dyDescent="0.3">
      <c r="A29" s="66"/>
      <c r="B29" s="95" t="s">
        <v>23</v>
      </c>
      <c r="C29" s="59"/>
      <c r="D29" s="76">
        <f>SUM(D26:D28)</f>
        <v>17318.5</v>
      </c>
      <c r="E29" s="76">
        <f t="shared" ref="E29:S29" si="13">SUM(E26:E28)</f>
        <v>15428.5</v>
      </c>
      <c r="F29" s="77">
        <f t="shared" si="5"/>
        <v>1890</v>
      </c>
      <c r="G29" s="76">
        <f>SUM(G26:G28)</f>
        <v>0</v>
      </c>
      <c r="H29" s="76">
        <f>SUM(H26:H28)</f>
        <v>0</v>
      </c>
      <c r="I29" s="77">
        <f t="shared" si="13"/>
        <v>0</v>
      </c>
      <c r="J29" s="76">
        <f t="shared" si="13"/>
        <v>3800</v>
      </c>
      <c r="K29" s="76">
        <f t="shared" si="13"/>
        <v>0</v>
      </c>
      <c r="L29" s="77">
        <f t="shared" si="13"/>
        <v>0</v>
      </c>
      <c r="M29" s="76">
        <f t="shared" si="13"/>
        <v>0</v>
      </c>
      <c r="N29" s="76">
        <f t="shared" si="13"/>
        <v>0</v>
      </c>
      <c r="O29" s="77">
        <f t="shared" si="13"/>
        <v>0</v>
      </c>
      <c r="P29" s="76">
        <f t="shared" si="13"/>
        <v>1500</v>
      </c>
      <c r="Q29" s="76">
        <f t="shared" si="13"/>
        <v>1500</v>
      </c>
      <c r="R29" s="111">
        <f t="shared" si="13"/>
        <v>0</v>
      </c>
      <c r="S29" s="104">
        <f t="shared" si="13"/>
        <v>1890</v>
      </c>
      <c r="T29" s="96"/>
      <c r="U29" s="465">
        <f>D29+G29+J29+M29+P29</f>
        <v>22618.5</v>
      </c>
      <c r="V29" s="465">
        <f t="shared" si="3"/>
        <v>16928.5</v>
      </c>
      <c r="W29" s="323">
        <f>S29/(D29+G29+J29+M29+P29)</f>
        <v>8.3559917766430139E-2</v>
      </c>
      <c r="X29" s="80">
        <f>E29+H29+K29</f>
        <v>15428.5</v>
      </c>
      <c r="Y29" s="323">
        <f>S29/(D29+G29+J29)</f>
        <v>8.9494992542083956E-2</v>
      </c>
      <c r="Z29" s="2">
        <f>N29+Q29</f>
        <v>1500</v>
      </c>
    </row>
    <row r="30" spans="1:26" x14ac:dyDescent="0.25">
      <c r="A30" s="33" t="s">
        <v>45</v>
      </c>
      <c r="B30" s="745" t="s">
        <v>43</v>
      </c>
      <c r="C30" s="74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109"/>
      <c r="S30" s="78"/>
      <c r="T30" s="110"/>
      <c r="U30" s="152">
        <f t="shared" si="3"/>
        <v>0</v>
      </c>
      <c r="V30" s="152">
        <f t="shared" si="3"/>
        <v>0</v>
      </c>
      <c r="W30" s="465">
        <v>1890</v>
      </c>
      <c r="X30" s="80">
        <f>V29-Z29</f>
        <v>15428.5</v>
      </c>
      <c r="Y30" s="46"/>
    </row>
    <row r="31" spans="1:26" ht="33" customHeight="1" x14ac:dyDescent="0.25">
      <c r="A31" s="33"/>
      <c r="B31" s="726" t="s">
        <v>73</v>
      </c>
      <c r="C31" s="727"/>
      <c r="D31" s="92">
        <v>8168.4</v>
      </c>
      <c r="E31" s="92">
        <v>6525.2</v>
      </c>
      <c r="F31" s="92">
        <f t="shared" ref="F31" si="14">D31-E31</f>
        <v>1643.1999999999998</v>
      </c>
      <c r="G31" s="92">
        <v>250</v>
      </c>
      <c r="H31" s="92">
        <v>210</v>
      </c>
      <c r="I31" s="92">
        <f t="shared" si="6"/>
        <v>40</v>
      </c>
      <c r="J31" s="92"/>
      <c r="K31" s="92"/>
      <c r="L31" s="92">
        <f>J31-K31</f>
        <v>0</v>
      </c>
      <c r="M31" s="92">
        <v>82085.5</v>
      </c>
      <c r="N31" s="92">
        <v>82085.5</v>
      </c>
      <c r="O31" s="92">
        <f>M31-N31</f>
        <v>0</v>
      </c>
      <c r="P31" s="92">
        <v>1039.7</v>
      </c>
      <c r="Q31" s="92">
        <v>1039.7</v>
      </c>
      <c r="R31" s="112">
        <f t="shared" ref="R31" si="15">P31-Q31</f>
        <v>0</v>
      </c>
      <c r="S31" s="92">
        <f>F31+I31+L31+O31+R31</f>
        <v>1683.1999999999998</v>
      </c>
      <c r="T31" s="114"/>
      <c r="U31" s="215">
        <f t="shared" si="3"/>
        <v>91543.599999999991</v>
      </c>
      <c r="V31" s="215">
        <f t="shared" si="3"/>
        <v>89860.4</v>
      </c>
      <c r="W31" s="46"/>
      <c r="X31" s="46"/>
      <c r="Y31" s="218"/>
    </row>
    <row r="32" spans="1:26" ht="39" customHeight="1" thickBot="1" x14ac:dyDescent="0.3">
      <c r="A32" s="33"/>
      <c r="B32" s="730" t="s">
        <v>74</v>
      </c>
      <c r="C32" s="731"/>
      <c r="D32" s="75">
        <v>1125</v>
      </c>
      <c r="E32" s="75">
        <v>1125</v>
      </c>
      <c r="F32" s="75">
        <f t="shared" si="5"/>
        <v>0</v>
      </c>
      <c r="G32" s="75"/>
      <c r="H32" s="75"/>
      <c r="I32" s="75">
        <f t="shared" si="6"/>
        <v>0</v>
      </c>
      <c r="J32" s="75"/>
      <c r="K32" s="75"/>
      <c r="L32" s="75"/>
      <c r="M32" s="75"/>
      <c r="N32" s="75"/>
      <c r="O32" s="75"/>
      <c r="P32" s="75"/>
      <c r="Q32" s="75"/>
      <c r="R32" s="113">
        <f t="shared" si="0"/>
        <v>0</v>
      </c>
      <c r="S32" s="75">
        <f>F32+I32+L32+O32+R32</f>
        <v>0</v>
      </c>
      <c r="T32" s="115"/>
      <c r="U32" s="215">
        <f t="shared" si="3"/>
        <v>1125</v>
      </c>
      <c r="V32" s="215">
        <f t="shared" si="3"/>
        <v>1125</v>
      </c>
      <c r="W32" s="80"/>
      <c r="X32" s="80"/>
      <c r="Y32" s="46"/>
      <c r="Z32" s="2"/>
    </row>
    <row r="33" spans="1:26" ht="15.75" thickBot="1" x14ac:dyDescent="0.3">
      <c r="A33" s="93"/>
      <c r="B33" s="94" t="s">
        <v>23</v>
      </c>
      <c r="C33" s="61"/>
      <c r="D33" s="88">
        <f>SUM(D30:D32)</f>
        <v>9293.4</v>
      </c>
      <c r="E33" s="88">
        <f t="shared" ref="E33:F33" si="16">SUM(E30:E32)</f>
        <v>7650.2</v>
      </c>
      <c r="F33" s="77">
        <f t="shared" si="16"/>
        <v>1643.1999999999998</v>
      </c>
      <c r="G33" s="76">
        <f t="shared" ref="G33:R33" si="17">G31+G32</f>
        <v>250</v>
      </c>
      <c r="H33" s="76">
        <f t="shared" si="17"/>
        <v>210</v>
      </c>
      <c r="I33" s="77">
        <f t="shared" si="17"/>
        <v>40</v>
      </c>
      <c r="J33" s="76">
        <f t="shared" si="17"/>
        <v>0</v>
      </c>
      <c r="K33" s="76">
        <f t="shared" si="17"/>
        <v>0</v>
      </c>
      <c r="L33" s="77">
        <f t="shared" si="17"/>
        <v>0</v>
      </c>
      <c r="M33" s="76">
        <f t="shared" si="17"/>
        <v>82085.5</v>
      </c>
      <c r="N33" s="76">
        <f t="shared" si="17"/>
        <v>82085.5</v>
      </c>
      <c r="O33" s="77">
        <f t="shared" si="17"/>
        <v>0</v>
      </c>
      <c r="P33" s="76">
        <f t="shared" si="17"/>
        <v>1039.7</v>
      </c>
      <c r="Q33" s="76">
        <f t="shared" si="17"/>
        <v>1039.7</v>
      </c>
      <c r="R33" s="76">
        <f t="shared" si="17"/>
        <v>0</v>
      </c>
      <c r="S33" s="104">
        <f>F33+I33+L33+O33+R33</f>
        <v>1683.1999999999998</v>
      </c>
      <c r="T33" s="60"/>
      <c r="U33" s="465">
        <f>D33+G33+J33+M33+P33</f>
        <v>92668.599999999991</v>
      </c>
      <c r="V33" s="465">
        <f t="shared" si="3"/>
        <v>90985.4</v>
      </c>
      <c r="W33" s="323">
        <f>S33/(D33+G33+J33+M33+P33)</f>
        <v>1.8163649823133187E-2</v>
      </c>
      <c r="X33" s="29">
        <f>E33+H33+K33+N33</f>
        <v>89945.7</v>
      </c>
      <c r="Y33" s="323">
        <f>S33/(D33+G33+J33)</f>
        <v>0.17637320032692749</v>
      </c>
      <c r="Z33" s="470">
        <f>Q31</f>
        <v>1039.7</v>
      </c>
    </row>
    <row r="34" spans="1:26" x14ac:dyDescent="0.25">
      <c r="A34" s="33" t="s">
        <v>46</v>
      </c>
      <c r="B34" s="745" t="s">
        <v>44</v>
      </c>
      <c r="C34" s="746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52">
        <f t="shared" si="3"/>
        <v>0</v>
      </c>
      <c r="V34" s="152">
        <f t="shared" si="3"/>
        <v>0</v>
      </c>
      <c r="W34" s="465">
        <f>U33-V33</f>
        <v>1683.1999999999971</v>
      </c>
      <c r="X34" s="29">
        <f>V33-Z33</f>
        <v>89945.7</v>
      </c>
      <c r="Y34" s="46"/>
    </row>
    <row r="35" spans="1:26" ht="33.75" customHeight="1" x14ac:dyDescent="0.25">
      <c r="A35" s="33"/>
      <c r="B35" s="726" t="s">
        <v>73</v>
      </c>
      <c r="C35" s="727"/>
      <c r="D35" s="92"/>
      <c r="E35" s="92"/>
      <c r="F35" s="92">
        <f t="shared" ref="F35" si="18">D35-E35</f>
        <v>0</v>
      </c>
      <c r="G35" s="92"/>
      <c r="H35" s="92"/>
      <c r="I35" s="92">
        <f t="shared" ref="I35" si="19">G35-H35</f>
        <v>0</v>
      </c>
      <c r="J35" s="289"/>
      <c r="K35" s="92"/>
      <c r="L35" s="92"/>
      <c r="M35" s="92"/>
      <c r="N35" s="92"/>
      <c r="O35" s="92">
        <f>M35-N35</f>
        <v>0</v>
      </c>
      <c r="P35" s="92">
        <v>1909.8</v>
      </c>
      <c r="Q35" s="92">
        <v>1909.8</v>
      </c>
      <c r="R35" s="92">
        <f t="shared" ref="R35" si="20">P35-Q35</f>
        <v>0</v>
      </c>
      <c r="S35" s="92">
        <f t="shared" ref="S35" si="21">F35+I35+L35+O35+R35</f>
        <v>0</v>
      </c>
      <c r="T35" s="92"/>
      <c r="U35" s="152">
        <f t="shared" si="3"/>
        <v>1909.8</v>
      </c>
      <c r="V35" s="152">
        <f t="shared" si="3"/>
        <v>1909.8</v>
      </c>
      <c r="W35" s="46"/>
      <c r="X35" s="46"/>
      <c r="Y35" s="218">
        <f>M35+P35</f>
        <v>1909.8</v>
      </c>
    </row>
    <row r="36" spans="1:26" ht="36.75" customHeight="1" thickBot="1" x14ac:dyDescent="0.3">
      <c r="A36" s="33"/>
      <c r="B36" s="724" t="s">
        <v>74</v>
      </c>
      <c r="C36" s="725"/>
      <c r="D36" s="75">
        <v>12395.4</v>
      </c>
      <c r="E36" s="75">
        <v>12357.1</v>
      </c>
      <c r="F36" s="75">
        <f t="shared" si="5"/>
        <v>38.299999999999272</v>
      </c>
      <c r="G36" s="75"/>
      <c r="H36" s="75"/>
      <c r="I36" s="75"/>
      <c r="J36" s="75"/>
      <c r="K36" s="75"/>
      <c r="L36" s="75"/>
      <c r="M36" s="75">
        <v>7081.2</v>
      </c>
      <c r="N36" s="75">
        <v>7081.2</v>
      </c>
      <c r="O36" s="75"/>
      <c r="P36" s="75"/>
      <c r="Q36" s="75"/>
      <c r="R36" s="75">
        <f t="shared" si="0"/>
        <v>0</v>
      </c>
      <c r="S36" s="75">
        <f t="shared" si="1"/>
        <v>38.299999999999272</v>
      </c>
      <c r="T36" s="75"/>
      <c r="U36" s="215">
        <f t="shared" si="3"/>
        <v>19476.599999999999</v>
      </c>
      <c r="V36" s="215">
        <f t="shared" si="3"/>
        <v>19438.3</v>
      </c>
      <c r="W36" s="46"/>
      <c r="X36" s="46"/>
      <c r="Y36" s="46"/>
    </row>
    <row r="37" spans="1:26" ht="13.5" customHeight="1" thickBot="1" x14ac:dyDescent="0.3">
      <c r="A37" s="66"/>
      <c r="B37" s="64" t="s">
        <v>23</v>
      </c>
      <c r="C37" s="94"/>
      <c r="D37" s="76">
        <f>SUM(D34:D36)</f>
        <v>12395.4</v>
      </c>
      <c r="E37" s="76">
        <f t="shared" ref="E37:R37" si="22">SUM(E34:E36)</f>
        <v>12357.1</v>
      </c>
      <c r="F37" s="77">
        <f>D37-E37</f>
        <v>38.299999999999272</v>
      </c>
      <c r="G37" s="76">
        <f t="shared" si="22"/>
        <v>0</v>
      </c>
      <c r="H37" s="76">
        <f t="shared" si="22"/>
        <v>0</v>
      </c>
      <c r="I37" s="77">
        <f t="shared" si="22"/>
        <v>0</v>
      </c>
      <c r="J37" s="288">
        <f t="shared" si="22"/>
        <v>0</v>
      </c>
      <c r="K37" s="76">
        <f t="shared" si="22"/>
        <v>0</v>
      </c>
      <c r="L37" s="77">
        <f t="shared" si="22"/>
        <v>0</v>
      </c>
      <c r="M37" s="76">
        <f t="shared" si="22"/>
        <v>7081.2</v>
      </c>
      <c r="N37" s="76">
        <f t="shared" si="22"/>
        <v>7081.2</v>
      </c>
      <c r="O37" s="77">
        <f t="shared" si="22"/>
        <v>0</v>
      </c>
      <c r="P37" s="76">
        <f t="shared" si="22"/>
        <v>1909.8</v>
      </c>
      <c r="Q37" s="76">
        <f t="shared" si="22"/>
        <v>1909.8</v>
      </c>
      <c r="R37" s="77">
        <f t="shared" si="22"/>
        <v>0</v>
      </c>
      <c r="S37" s="104">
        <f>SUM(S34:S36)</f>
        <v>38.299999999999272</v>
      </c>
      <c r="T37" s="60"/>
      <c r="U37" s="200">
        <f>D37+G37+J37+M37+P37</f>
        <v>21386.399999999998</v>
      </c>
      <c r="V37" s="200">
        <f>E37+H37+K37+N37+Q37</f>
        <v>21348.1</v>
      </c>
      <c r="W37" s="323">
        <f t="shared" ref="W37" si="23">S37/(D37+G37+J37+M37+P37)</f>
        <v>1.7908577413683123E-3</v>
      </c>
      <c r="X37" s="80">
        <f>E37+H37+K37+N37</f>
        <v>19438.3</v>
      </c>
      <c r="Y37" s="323">
        <f>S37/(D37+G37+J37)</f>
        <v>3.0898559142907268E-3</v>
      </c>
      <c r="Z37" s="2">
        <f>Q37</f>
        <v>1909.8</v>
      </c>
    </row>
    <row r="38" spans="1:26" x14ac:dyDescent="0.25">
      <c r="A38" s="33" t="s">
        <v>49</v>
      </c>
      <c r="B38" s="745" t="s">
        <v>47</v>
      </c>
      <c r="C38" s="746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52">
        <f t="shared" si="3"/>
        <v>0</v>
      </c>
      <c r="V38" s="152">
        <f t="shared" si="3"/>
        <v>0</v>
      </c>
      <c r="W38" s="46"/>
      <c r="X38" s="80">
        <f>V37-Z37</f>
        <v>19438.3</v>
      </c>
      <c r="Y38" s="46"/>
    </row>
    <row r="39" spans="1:26" ht="33.75" customHeight="1" x14ac:dyDescent="0.25">
      <c r="A39" s="33"/>
      <c r="B39" s="726" t="s">
        <v>73</v>
      </c>
      <c r="C39" s="727"/>
      <c r="D39" s="92">
        <v>3335.5</v>
      </c>
      <c r="E39" s="92">
        <v>2664.4</v>
      </c>
      <c r="F39" s="92">
        <f t="shared" si="5"/>
        <v>671.09999999999991</v>
      </c>
      <c r="G39" s="92"/>
      <c r="H39" s="92"/>
      <c r="I39" s="92">
        <f>G39-H39</f>
        <v>0</v>
      </c>
      <c r="J39" s="91"/>
      <c r="K39" s="91"/>
      <c r="L39" s="91"/>
      <c r="M39" s="91"/>
      <c r="N39" s="91"/>
      <c r="O39" s="91"/>
      <c r="P39" s="92">
        <v>2245.4</v>
      </c>
      <c r="Q39" s="92">
        <v>2245.4</v>
      </c>
      <c r="R39" s="91">
        <f t="shared" ref="R39" si="24">P39-Q39</f>
        <v>0</v>
      </c>
      <c r="S39" s="91">
        <f t="shared" ref="S39" si="25">F39+I39+L39+O39+R39</f>
        <v>671.09999999999991</v>
      </c>
      <c r="T39" s="91"/>
      <c r="U39" s="215">
        <f t="shared" si="3"/>
        <v>5580.9</v>
      </c>
      <c r="V39" s="215">
        <f t="shared" si="3"/>
        <v>4909.8</v>
      </c>
      <c r="W39" s="46"/>
      <c r="X39" s="46"/>
      <c r="Y39" s="46"/>
    </row>
    <row r="40" spans="1:26" ht="34.5" customHeight="1" thickBot="1" x14ac:dyDescent="0.3">
      <c r="A40" s="33"/>
      <c r="B40" s="724" t="s">
        <v>74</v>
      </c>
      <c r="C40" s="725"/>
      <c r="D40" s="75">
        <v>10009</v>
      </c>
      <c r="E40" s="75">
        <v>9300.4</v>
      </c>
      <c r="F40" s="75">
        <f t="shared" si="5"/>
        <v>708.60000000000036</v>
      </c>
      <c r="G40" s="75"/>
      <c r="H40" s="75"/>
      <c r="I40" s="92">
        <f>G40-H40</f>
        <v>0</v>
      </c>
      <c r="J40" s="75"/>
      <c r="K40" s="75"/>
      <c r="L40" s="75"/>
      <c r="M40" s="75"/>
      <c r="N40" s="75"/>
      <c r="O40" s="75"/>
      <c r="P40" s="75"/>
      <c r="Q40" s="75"/>
      <c r="R40" s="75">
        <f t="shared" si="0"/>
        <v>0</v>
      </c>
      <c r="S40" s="75">
        <f t="shared" si="1"/>
        <v>708.60000000000036</v>
      </c>
      <c r="T40" s="75"/>
      <c r="U40" s="215">
        <f t="shared" si="3"/>
        <v>10009</v>
      </c>
      <c r="V40" s="215">
        <f t="shared" si="3"/>
        <v>9300.4</v>
      </c>
      <c r="W40" s="46"/>
      <c r="X40" s="80">
        <f>E41+H41+K41</f>
        <v>11964.8</v>
      </c>
      <c r="Y40" s="46"/>
      <c r="Z40" s="2">
        <f>Q41</f>
        <v>2245.4</v>
      </c>
    </row>
    <row r="41" spans="1:26" ht="15.75" thickBot="1" x14ac:dyDescent="0.3">
      <c r="A41" s="66"/>
      <c r="B41" s="94" t="s">
        <v>23</v>
      </c>
      <c r="C41" s="64"/>
      <c r="D41" s="76">
        <f>SUM(D38:D40)</f>
        <v>13344.5</v>
      </c>
      <c r="E41" s="76">
        <f t="shared" ref="E41:S41" si="26">SUM(E38:E40)</f>
        <v>11964.8</v>
      </c>
      <c r="F41" s="77">
        <f>D41-E41</f>
        <v>1379.7000000000007</v>
      </c>
      <c r="G41" s="76">
        <f t="shared" si="26"/>
        <v>0</v>
      </c>
      <c r="H41" s="76">
        <f t="shared" si="26"/>
        <v>0</v>
      </c>
      <c r="I41" s="77">
        <f t="shared" si="26"/>
        <v>0</v>
      </c>
      <c r="J41" s="76">
        <f t="shared" si="26"/>
        <v>0</v>
      </c>
      <c r="K41" s="76">
        <f t="shared" si="26"/>
        <v>0</v>
      </c>
      <c r="L41" s="77">
        <f t="shared" si="26"/>
        <v>0</v>
      </c>
      <c r="M41" s="76">
        <f t="shared" si="26"/>
        <v>0</v>
      </c>
      <c r="N41" s="76">
        <f t="shared" si="26"/>
        <v>0</v>
      </c>
      <c r="O41" s="77">
        <f t="shared" si="26"/>
        <v>0</v>
      </c>
      <c r="P41" s="76">
        <f t="shared" si="26"/>
        <v>2245.4</v>
      </c>
      <c r="Q41" s="76">
        <f t="shared" si="26"/>
        <v>2245.4</v>
      </c>
      <c r="R41" s="77">
        <f t="shared" si="26"/>
        <v>0</v>
      </c>
      <c r="S41" s="104">
        <f t="shared" si="26"/>
        <v>1379.7000000000003</v>
      </c>
      <c r="T41" s="96"/>
      <c r="U41" s="465">
        <f t="shared" si="3"/>
        <v>15589.9</v>
      </c>
      <c r="V41" s="465">
        <f t="shared" si="3"/>
        <v>14210.199999999999</v>
      </c>
      <c r="W41" s="323">
        <f t="shared" ref="W41:W65" si="27">S41/(D41+G41+J41+M41+P41)</f>
        <v>8.8499605513826282E-2</v>
      </c>
      <c r="X41" s="80">
        <f>V41-Z40</f>
        <v>11964.8</v>
      </c>
      <c r="Y41" s="323">
        <f>S41/(D41+G41+J41)</f>
        <v>0.10339091011278057</v>
      </c>
    </row>
    <row r="42" spans="1:26" ht="15.75" customHeight="1" x14ac:dyDescent="0.25">
      <c r="A42" s="33" t="s">
        <v>50</v>
      </c>
      <c r="B42" s="745" t="s">
        <v>48</v>
      </c>
      <c r="C42" s="74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52">
        <f t="shared" si="3"/>
        <v>0</v>
      </c>
      <c r="V42" s="152">
        <f t="shared" si="3"/>
        <v>0</v>
      </c>
      <c r="W42" s="465">
        <f>U41-V41</f>
        <v>1379.7000000000007</v>
      </c>
      <c r="X42" s="46"/>
      <c r="Y42" s="46"/>
    </row>
    <row r="43" spans="1:26" ht="34.5" customHeight="1" x14ac:dyDescent="0.25">
      <c r="A43" s="33"/>
      <c r="B43" s="726" t="s">
        <v>73</v>
      </c>
      <c r="C43" s="727"/>
      <c r="D43" s="92">
        <v>12252.7</v>
      </c>
      <c r="E43" s="92">
        <v>11170.6</v>
      </c>
      <c r="F43" s="92">
        <f t="shared" ref="F43:F44" si="28">D43-E43</f>
        <v>1082.1000000000004</v>
      </c>
      <c r="G43" s="92"/>
      <c r="H43" s="92"/>
      <c r="I43" s="92">
        <f t="shared" ref="I43:I44" si="29">G43-H43</f>
        <v>0</v>
      </c>
      <c r="J43" s="92"/>
      <c r="K43" s="92"/>
      <c r="L43" s="92">
        <f>J43-K43</f>
        <v>0</v>
      </c>
      <c r="M43" s="92"/>
      <c r="N43" s="92"/>
      <c r="O43" s="92"/>
      <c r="P43" s="92">
        <v>3332</v>
      </c>
      <c r="Q43" s="92">
        <v>3332</v>
      </c>
      <c r="R43" s="92">
        <f t="shared" ref="R43:R44" si="30">P43-Q43</f>
        <v>0</v>
      </c>
      <c r="S43" s="92">
        <f t="shared" ref="S43:S44" si="31">F43+I43+L43+O43+R43</f>
        <v>1082.1000000000004</v>
      </c>
      <c r="T43" s="92"/>
      <c r="U43" s="215">
        <f t="shared" si="3"/>
        <v>15584.7</v>
      </c>
      <c r="V43" s="215">
        <f t="shared" si="3"/>
        <v>14502.6</v>
      </c>
      <c r="W43" s="46"/>
      <c r="X43" s="46"/>
      <c r="Y43" s="46"/>
    </row>
    <row r="44" spans="1:26" ht="33.75" customHeight="1" thickBot="1" x14ac:dyDescent="0.3">
      <c r="A44" s="33"/>
      <c r="B44" s="724" t="s">
        <v>74</v>
      </c>
      <c r="C44" s="725"/>
      <c r="D44" s="75">
        <v>31901</v>
      </c>
      <c r="E44" s="75">
        <v>31873.8</v>
      </c>
      <c r="F44" s="75">
        <f t="shared" si="28"/>
        <v>27.200000000000728</v>
      </c>
      <c r="G44" s="75"/>
      <c r="H44" s="75"/>
      <c r="I44" s="75">
        <f t="shared" si="29"/>
        <v>0</v>
      </c>
      <c r="J44" s="75">
        <v>4416.8999999999996</v>
      </c>
      <c r="K44" s="75">
        <v>4416.8999999999996</v>
      </c>
      <c r="L44" s="75"/>
      <c r="M44" s="75"/>
      <c r="N44" s="75"/>
      <c r="O44" s="75"/>
      <c r="P44" s="75"/>
      <c r="Q44" s="75"/>
      <c r="R44" s="75">
        <f t="shared" si="30"/>
        <v>0</v>
      </c>
      <c r="S44" s="75">
        <f t="shared" si="31"/>
        <v>27.200000000000728</v>
      </c>
      <c r="T44" s="75"/>
      <c r="U44" s="215">
        <f t="shared" si="3"/>
        <v>36317.9</v>
      </c>
      <c r="V44" s="215">
        <f t="shared" si="3"/>
        <v>36290.699999999997</v>
      </c>
      <c r="W44" s="46"/>
      <c r="X44" s="46"/>
      <c r="Y44" s="46"/>
    </row>
    <row r="45" spans="1:26" ht="15.75" thickBot="1" x14ac:dyDescent="0.3">
      <c r="A45" s="66"/>
      <c r="B45" s="94" t="s">
        <v>23</v>
      </c>
      <c r="C45" s="64"/>
      <c r="D45" s="76">
        <f>SUM(D42:D44)</f>
        <v>44153.7</v>
      </c>
      <c r="E45" s="76">
        <f t="shared" ref="E45:S45" si="32">SUM(E42:E44)</f>
        <v>43044.4</v>
      </c>
      <c r="F45" s="77">
        <f>D45-E45</f>
        <v>1109.2999999999956</v>
      </c>
      <c r="G45" s="76">
        <f t="shared" si="32"/>
        <v>0</v>
      </c>
      <c r="H45" s="76">
        <f t="shared" si="32"/>
        <v>0</v>
      </c>
      <c r="I45" s="77">
        <f t="shared" si="32"/>
        <v>0</v>
      </c>
      <c r="J45" s="76">
        <f t="shared" si="32"/>
        <v>4416.8999999999996</v>
      </c>
      <c r="K45" s="76">
        <f t="shared" si="32"/>
        <v>4416.8999999999996</v>
      </c>
      <c r="L45" s="77">
        <f t="shared" si="32"/>
        <v>0</v>
      </c>
      <c r="M45" s="76">
        <f t="shared" si="32"/>
        <v>0</v>
      </c>
      <c r="N45" s="76">
        <f t="shared" si="32"/>
        <v>0</v>
      </c>
      <c r="O45" s="77">
        <f t="shared" si="32"/>
        <v>0</v>
      </c>
      <c r="P45" s="76">
        <f t="shared" si="32"/>
        <v>3332</v>
      </c>
      <c r="Q45" s="76">
        <f t="shared" si="32"/>
        <v>3332</v>
      </c>
      <c r="R45" s="77">
        <f t="shared" si="32"/>
        <v>0</v>
      </c>
      <c r="S45" s="104">
        <f t="shared" si="32"/>
        <v>1109.3000000000011</v>
      </c>
      <c r="T45" s="96"/>
      <c r="U45" s="465">
        <f t="shared" si="3"/>
        <v>51902.6</v>
      </c>
      <c r="V45" s="465">
        <f t="shared" si="3"/>
        <v>50793.3</v>
      </c>
      <c r="W45" s="323">
        <f t="shared" si="27"/>
        <v>2.1372725065796339E-2</v>
      </c>
      <c r="X45" s="80">
        <f>E45+H45+K45</f>
        <v>47461.3</v>
      </c>
      <c r="Y45" s="323">
        <f>S45/(D45+G45+J45)</f>
        <v>2.283891901685384E-2</v>
      </c>
      <c r="Z45" s="2">
        <f>Q45</f>
        <v>3332</v>
      </c>
    </row>
    <row r="46" spans="1:26" x14ac:dyDescent="0.25">
      <c r="A46" s="33" t="s">
        <v>51</v>
      </c>
      <c r="B46" s="745" t="s">
        <v>52</v>
      </c>
      <c r="C46" s="74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152">
        <f t="shared" si="3"/>
        <v>0</v>
      </c>
      <c r="V46" s="152">
        <f t="shared" si="3"/>
        <v>0</v>
      </c>
      <c r="W46" s="465">
        <f>U45-V45</f>
        <v>1109.2999999999956</v>
      </c>
      <c r="X46" s="80">
        <f>V45-Z45</f>
        <v>47461.3</v>
      </c>
      <c r="Y46" s="46"/>
    </row>
    <row r="47" spans="1:26" ht="36.75" customHeight="1" x14ac:dyDescent="0.25">
      <c r="A47" s="33"/>
      <c r="B47" s="726" t="s">
        <v>73</v>
      </c>
      <c r="C47" s="727"/>
      <c r="D47" s="92">
        <v>1269.8</v>
      </c>
      <c r="E47" s="92">
        <v>1257.0999999999999</v>
      </c>
      <c r="F47" s="92">
        <f t="shared" ref="F47:F48" si="33">D47-E47</f>
        <v>12.700000000000045</v>
      </c>
      <c r="G47" s="92"/>
      <c r="H47" s="92"/>
      <c r="I47" s="92">
        <f t="shared" ref="I47:I48" si="34">G47-H47</f>
        <v>0</v>
      </c>
      <c r="J47" s="92">
        <v>11569.7</v>
      </c>
      <c r="K47" s="92">
        <v>11222.6</v>
      </c>
      <c r="L47" s="92">
        <f>J47-K47</f>
        <v>347.10000000000036</v>
      </c>
      <c r="M47" s="92"/>
      <c r="N47" s="92"/>
      <c r="O47" s="92">
        <f>M47-N47</f>
        <v>0</v>
      </c>
      <c r="P47" s="92">
        <v>527.79999999999995</v>
      </c>
      <c r="Q47" s="92">
        <v>527.79999999999995</v>
      </c>
      <c r="R47" s="92">
        <f t="shared" ref="R47:R48" si="35">P47-Q47</f>
        <v>0</v>
      </c>
      <c r="S47" s="92">
        <f t="shared" ref="S47:S48" si="36">F47+I47+L47+O47+R47</f>
        <v>359.80000000000041</v>
      </c>
      <c r="T47" s="92"/>
      <c r="U47" s="216">
        <f t="shared" si="3"/>
        <v>13367.3</v>
      </c>
      <c r="V47" s="216">
        <f t="shared" si="3"/>
        <v>13007.5</v>
      </c>
      <c r="W47" s="46"/>
      <c r="X47" s="46"/>
      <c r="Y47" s="46"/>
    </row>
    <row r="48" spans="1:26" ht="35.25" customHeight="1" thickBot="1" x14ac:dyDescent="0.3">
      <c r="A48" s="33"/>
      <c r="B48" s="724" t="s">
        <v>74</v>
      </c>
      <c r="C48" s="725"/>
      <c r="D48" s="75">
        <v>6382.4</v>
      </c>
      <c r="E48" s="75">
        <v>6370.5</v>
      </c>
      <c r="F48" s="92">
        <f t="shared" si="33"/>
        <v>11.899999999999636</v>
      </c>
      <c r="G48" s="75"/>
      <c r="H48" s="75"/>
      <c r="I48" s="92">
        <f t="shared" si="34"/>
        <v>0</v>
      </c>
      <c r="J48" s="75"/>
      <c r="K48" s="75"/>
      <c r="L48" s="75"/>
      <c r="M48" s="75"/>
      <c r="N48" s="75"/>
      <c r="O48" s="75"/>
      <c r="P48" s="75"/>
      <c r="Q48" s="75"/>
      <c r="R48" s="75">
        <f t="shared" si="35"/>
        <v>0</v>
      </c>
      <c r="S48" s="75">
        <f t="shared" si="36"/>
        <v>11.899999999999636</v>
      </c>
      <c r="T48" s="75"/>
      <c r="U48" s="216">
        <f t="shared" ref="U48:V69" si="37">D48+G48+J48+M48+P48</f>
        <v>6382.4</v>
      </c>
      <c r="V48" s="216">
        <f t="shared" si="37"/>
        <v>6370.5</v>
      </c>
      <c r="W48" s="46"/>
      <c r="X48" s="80">
        <f>E49+H49+K49</f>
        <v>18850.2</v>
      </c>
      <c r="Y48" s="46"/>
      <c r="Z48" s="80">
        <f>N49+Q49</f>
        <v>527.79999999999995</v>
      </c>
    </row>
    <row r="49" spans="1:26" ht="15.75" thickBot="1" x14ac:dyDescent="0.3">
      <c r="A49" s="66"/>
      <c r="B49" s="94" t="s">
        <v>23</v>
      </c>
      <c r="C49" s="64"/>
      <c r="D49" s="76">
        <f>SUM(D46:D48)</f>
        <v>7652.2</v>
      </c>
      <c r="E49" s="76">
        <f t="shared" ref="E49:S49" si="38">SUM(E46:E48)</f>
        <v>7627.6</v>
      </c>
      <c r="F49" s="77">
        <f t="shared" si="38"/>
        <v>24.599999999999682</v>
      </c>
      <c r="G49" s="76">
        <f t="shared" si="38"/>
        <v>0</v>
      </c>
      <c r="H49" s="76">
        <f t="shared" si="38"/>
        <v>0</v>
      </c>
      <c r="I49" s="77">
        <f t="shared" si="38"/>
        <v>0</v>
      </c>
      <c r="J49" s="76">
        <f t="shared" si="38"/>
        <v>11569.7</v>
      </c>
      <c r="K49" s="76">
        <f t="shared" si="38"/>
        <v>11222.6</v>
      </c>
      <c r="L49" s="77">
        <f t="shared" si="38"/>
        <v>347.10000000000036</v>
      </c>
      <c r="M49" s="76">
        <f t="shared" si="38"/>
        <v>0</v>
      </c>
      <c r="N49" s="76">
        <f t="shared" si="38"/>
        <v>0</v>
      </c>
      <c r="O49" s="77">
        <f t="shared" si="38"/>
        <v>0</v>
      </c>
      <c r="P49" s="76">
        <f t="shared" si="38"/>
        <v>527.79999999999995</v>
      </c>
      <c r="Q49" s="76">
        <f t="shared" si="38"/>
        <v>527.79999999999995</v>
      </c>
      <c r="R49" s="77">
        <f t="shared" si="38"/>
        <v>0</v>
      </c>
      <c r="S49" s="104">
        <f t="shared" si="38"/>
        <v>371.70000000000005</v>
      </c>
      <c r="T49" s="96"/>
      <c r="U49" s="465">
        <f t="shared" si="37"/>
        <v>19749.7</v>
      </c>
      <c r="V49" s="465">
        <f t="shared" si="37"/>
        <v>19378</v>
      </c>
      <c r="W49" s="323">
        <f t="shared" si="27"/>
        <v>1.8820539046162727E-2</v>
      </c>
      <c r="X49" s="80">
        <f>V49-Z48</f>
        <v>18850.2</v>
      </c>
      <c r="Y49" s="323">
        <f>S49/(D49+G49+J49)</f>
        <v>1.9337318371232814E-2</v>
      </c>
    </row>
    <row r="50" spans="1:26" x14ac:dyDescent="0.25">
      <c r="A50" s="33" t="s">
        <v>53</v>
      </c>
      <c r="B50" s="745" t="s">
        <v>54</v>
      </c>
      <c r="C50" s="74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152">
        <f t="shared" si="37"/>
        <v>0</v>
      </c>
      <c r="V50" s="152">
        <f t="shared" si="37"/>
        <v>0</v>
      </c>
      <c r="W50" s="465">
        <f>U49-V49</f>
        <v>371.70000000000073</v>
      </c>
      <c r="X50" s="46"/>
      <c r="Y50" s="46"/>
    </row>
    <row r="51" spans="1:26" ht="33.75" customHeight="1" x14ac:dyDescent="0.25">
      <c r="A51" s="33"/>
      <c r="B51" s="726" t="s">
        <v>73</v>
      </c>
      <c r="C51" s="727"/>
      <c r="D51" s="290">
        <v>6969</v>
      </c>
      <c r="E51" s="92">
        <v>4570.8</v>
      </c>
      <c r="F51" s="92">
        <f>D51-E51</f>
        <v>2398.1999999999998</v>
      </c>
      <c r="G51" s="92"/>
      <c r="H51" s="92"/>
      <c r="I51" s="92"/>
      <c r="J51" s="92"/>
      <c r="K51" s="92"/>
      <c r="L51" s="92"/>
      <c r="M51" s="92"/>
      <c r="N51" s="92"/>
      <c r="O51" s="92">
        <f>M51-N51</f>
        <v>0</v>
      </c>
      <c r="P51" s="92">
        <v>1200</v>
      </c>
      <c r="Q51" s="92">
        <v>1200</v>
      </c>
      <c r="R51" s="92">
        <f t="shared" ref="R51:R52" si="39">P51-Q51</f>
        <v>0</v>
      </c>
      <c r="S51" s="92">
        <f t="shared" ref="S51:S52" si="40">F51+I51+L51+O51+R51</f>
        <v>2398.1999999999998</v>
      </c>
      <c r="T51" s="92"/>
      <c r="U51" s="215">
        <f t="shared" si="37"/>
        <v>8169</v>
      </c>
      <c r="V51" s="215">
        <f t="shared" si="37"/>
        <v>5770.8</v>
      </c>
      <c r="W51" s="46"/>
      <c r="X51" s="46"/>
      <c r="Y51" s="46"/>
      <c r="Z51" s="218">
        <f>M51+P51</f>
        <v>1200</v>
      </c>
    </row>
    <row r="52" spans="1:26" ht="36" customHeight="1" thickBot="1" x14ac:dyDescent="0.3">
      <c r="A52" s="33"/>
      <c r="B52" s="724" t="s">
        <v>74</v>
      </c>
      <c r="C52" s="725"/>
      <c r="D52" s="75">
        <v>22296.799999999999</v>
      </c>
      <c r="E52" s="75">
        <v>22292.799999999999</v>
      </c>
      <c r="F52" s="75">
        <f t="shared" ref="F52" si="41">D52-E52</f>
        <v>4</v>
      </c>
      <c r="G52" s="75"/>
      <c r="H52" s="75"/>
      <c r="I52" s="75">
        <f t="shared" ref="I52" si="42">G52-H52</f>
        <v>0</v>
      </c>
      <c r="J52" s="75"/>
      <c r="K52" s="75"/>
      <c r="L52" s="75"/>
      <c r="M52" s="75"/>
      <c r="N52" s="75"/>
      <c r="O52" s="75"/>
      <c r="P52" s="75"/>
      <c r="Q52" s="75"/>
      <c r="R52" s="75">
        <f t="shared" si="39"/>
        <v>0</v>
      </c>
      <c r="S52" s="75">
        <f t="shared" si="40"/>
        <v>4</v>
      </c>
      <c r="T52" s="75"/>
      <c r="U52" s="215">
        <f t="shared" si="37"/>
        <v>22296.799999999999</v>
      </c>
      <c r="V52" s="215">
        <f t="shared" si="37"/>
        <v>22292.799999999999</v>
      </c>
      <c r="W52" s="46"/>
      <c r="X52" s="46"/>
      <c r="Y52" s="46"/>
    </row>
    <row r="53" spans="1:26" ht="15.75" thickBot="1" x14ac:dyDescent="0.3">
      <c r="A53" s="66"/>
      <c r="B53" s="94" t="s">
        <v>23</v>
      </c>
      <c r="C53" s="64"/>
      <c r="D53" s="76">
        <f>SUM(D50:D52)</f>
        <v>29265.8</v>
      </c>
      <c r="E53" s="76">
        <f t="shared" ref="E53:R53" si="43">SUM(E50:E52)</f>
        <v>26863.599999999999</v>
      </c>
      <c r="F53" s="77">
        <f t="shared" si="43"/>
        <v>2402.1999999999998</v>
      </c>
      <c r="G53" s="76">
        <f t="shared" si="43"/>
        <v>0</v>
      </c>
      <c r="H53" s="76">
        <f t="shared" si="43"/>
        <v>0</v>
      </c>
      <c r="I53" s="77">
        <f t="shared" si="43"/>
        <v>0</v>
      </c>
      <c r="J53" s="76">
        <f t="shared" si="43"/>
        <v>0</v>
      </c>
      <c r="K53" s="76">
        <f t="shared" si="43"/>
        <v>0</v>
      </c>
      <c r="L53" s="77">
        <f t="shared" si="43"/>
        <v>0</v>
      </c>
      <c r="M53" s="76">
        <f t="shared" si="43"/>
        <v>0</v>
      </c>
      <c r="N53" s="76">
        <f t="shared" si="43"/>
        <v>0</v>
      </c>
      <c r="O53" s="77">
        <f t="shared" si="43"/>
        <v>0</v>
      </c>
      <c r="P53" s="76">
        <f t="shared" si="43"/>
        <v>1200</v>
      </c>
      <c r="Q53" s="76">
        <f t="shared" si="43"/>
        <v>1200</v>
      </c>
      <c r="R53" s="77">
        <f t="shared" si="43"/>
        <v>0</v>
      </c>
      <c r="S53" s="77">
        <f>SUM(S50:S52)</f>
        <v>2402.1999999999998</v>
      </c>
      <c r="T53" s="96"/>
      <c r="U53" s="465">
        <f>D53+G53+J53+M53+P53</f>
        <v>30465.8</v>
      </c>
      <c r="V53" s="465">
        <f t="shared" si="37"/>
        <v>28063.599999999999</v>
      </c>
      <c r="W53" s="323">
        <f>S53/(D53+G53+J53+M53+P53)</f>
        <v>7.8849070104838867E-2</v>
      </c>
      <c r="X53" s="80">
        <f>E53+H53+K53</f>
        <v>26863.599999999999</v>
      </c>
      <c r="Y53" s="323">
        <f>S53/(D53+G53+J53+M53)</f>
        <v>8.2082157330399308E-2</v>
      </c>
      <c r="Z53" s="2">
        <f>N53+Q53</f>
        <v>1200</v>
      </c>
    </row>
    <row r="54" spans="1:26" x14ac:dyDescent="0.25">
      <c r="A54" s="33" t="s">
        <v>55</v>
      </c>
      <c r="B54" s="745" t="s">
        <v>56</v>
      </c>
      <c r="C54" s="746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152">
        <f t="shared" si="37"/>
        <v>0</v>
      </c>
      <c r="V54" s="152">
        <f t="shared" si="37"/>
        <v>0</v>
      </c>
      <c r="W54" s="465">
        <f>U53-V53</f>
        <v>2402.2000000000007</v>
      </c>
      <c r="X54" s="80">
        <f>V53-Z53</f>
        <v>26863.599999999999</v>
      </c>
      <c r="Y54" s="46"/>
    </row>
    <row r="55" spans="1:26" ht="30.75" customHeight="1" thickBot="1" x14ac:dyDescent="0.3">
      <c r="A55" s="33"/>
      <c r="B55" s="726" t="s">
        <v>73</v>
      </c>
      <c r="C55" s="727"/>
      <c r="D55" s="92"/>
      <c r="E55" s="92"/>
      <c r="F55" s="92">
        <f>D55-E55</f>
        <v>0</v>
      </c>
      <c r="G55" s="92"/>
      <c r="H55" s="92"/>
      <c r="I55" s="75">
        <f t="shared" ref="I55:I56" si="44">G55-H55</f>
        <v>0</v>
      </c>
      <c r="J55" s="92"/>
      <c r="K55" s="92"/>
      <c r="L55" s="92">
        <f>J55-K55</f>
        <v>0</v>
      </c>
      <c r="M55" s="92"/>
      <c r="N55" s="92"/>
      <c r="O55" s="92">
        <f>M55-N55</f>
        <v>0</v>
      </c>
      <c r="P55" s="92">
        <v>490</v>
      </c>
      <c r="Q55" s="92">
        <v>490</v>
      </c>
      <c r="R55" s="92">
        <f t="shared" ref="R55:R56" si="45">P55-Q55</f>
        <v>0</v>
      </c>
      <c r="S55" s="92">
        <f t="shared" ref="S55:S56" si="46">F55+I55+L55+O55+R55</f>
        <v>0</v>
      </c>
      <c r="T55" s="92"/>
      <c r="U55" s="215">
        <f t="shared" si="37"/>
        <v>490</v>
      </c>
      <c r="V55" s="215">
        <f t="shared" si="37"/>
        <v>490</v>
      </c>
      <c r="W55" s="46"/>
      <c r="X55" s="46"/>
      <c r="Y55" s="46"/>
    </row>
    <row r="56" spans="1:26" ht="33.75" customHeight="1" thickBot="1" x14ac:dyDescent="0.3">
      <c r="A56" s="33"/>
      <c r="B56" s="724" t="s">
        <v>74</v>
      </c>
      <c r="C56" s="725"/>
      <c r="D56" s="75">
        <v>5297.1</v>
      </c>
      <c r="E56" s="75">
        <v>5233.7</v>
      </c>
      <c r="F56" s="92">
        <f>D56-E56</f>
        <v>63.400000000000546</v>
      </c>
      <c r="G56" s="75"/>
      <c r="H56" s="75"/>
      <c r="I56" s="75">
        <f t="shared" si="44"/>
        <v>0</v>
      </c>
      <c r="J56" s="75"/>
      <c r="K56" s="75"/>
      <c r="L56" s="75"/>
      <c r="M56" s="75"/>
      <c r="N56" s="75"/>
      <c r="O56" s="75"/>
      <c r="P56" s="75"/>
      <c r="Q56" s="75"/>
      <c r="R56" s="75">
        <f t="shared" si="45"/>
        <v>0</v>
      </c>
      <c r="S56" s="75">
        <f t="shared" si="46"/>
        <v>63.400000000000546</v>
      </c>
      <c r="T56" s="75"/>
      <c r="U56" s="215">
        <f t="shared" si="37"/>
        <v>5297.1</v>
      </c>
      <c r="V56" s="215">
        <f t="shared" si="37"/>
        <v>5233.7</v>
      </c>
      <c r="W56" s="46"/>
      <c r="X56" s="46"/>
      <c r="Y56" s="46"/>
    </row>
    <row r="57" spans="1:26" ht="15.75" thickBot="1" x14ac:dyDescent="0.3">
      <c r="A57" s="66"/>
      <c r="B57" s="64" t="s">
        <v>23</v>
      </c>
      <c r="C57" s="64"/>
      <c r="D57" s="76">
        <f>SUM(D54:D56)</f>
        <v>5297.1</v>
      </c>
      <c r="E57" s="76">
        <f t="shared" ref="E57:N57" si="47">SUM(E54:E56)</f>
        <v>5233.7</v>
      </c>
      <c r="F57" s="77">
        <f t="shared" si="47"/>
        <v>63.400000000000546</v>
      </c>
      <c r="G57" s="76">
        <f t="shared" si="47"/>
        <v>0</v>
      </c>
      <c r="H57" s="76">
        <f t="shared" si="47"/>
        <v>0</v>
      </c>
      <c r="I57" s="77">
        <f t="shared" si="47"/>
        <v>0</v>
      </c>
      <c r="J57" s="76">
        <f t="shared" si="47"/>
        <v>0</v>
      </c>
      <c r="K57" s="76">
        <f t="shared" si="47"/>
        <v>0</v>
      </c>
      <c r="L57" s="77">
        <f t="shared" si="47"/>
        <v>0</v>
      </c>
      <c r="M57" s="76">
        <f t="shared" si="47"/>
        <v>0</v>
      </c>
      <c r="N57" s="76">
        <f t="shared" si="47"/>
        <v>0</v>
      </c>
      <c r="O57" s="77">
        <f>SUM(O54:O56)</f>
        <v>0</v>
      </c>
      <c r="P57" s="76">
        <f t="shared" ref="P57:R57" si="48">SUM(P54:P56)</f>
        <v>490</v>
      </c>
      <c r="Q57" s="76">
        <f t="shared" si="48"/>
        <v>490</v>
      </c>
      <c r="R57" s="77">
        <f t="shared" si="48"/>
        <v>0</v>
      </c>
      <c r="S57" s="104">
        <f>SUM(S54:S56)</f>
        <v>63.400000000000546</v>
      </c>
      <c r="T57" s="97"/>
      <c r="U57" s="465">
        <f t="shared" si="37"/>
        <v>5787.1</v>
      </c>
      <c r="V57" s="465">
        <f t="shared" si="37"/>
        <v>5723.7</v>
      </c>
      <c r="W57" s="332">
        <f>S57/(D57+G57+J57+M57+P57)</f>
        <v>1.0955400805239332E-2</v>
      </c>
      <c r="X57" s="80">
        <f>E57+H57+K57</f>
        <v>5233.7</v>
      </c>
      <c r="Y57" s="323">
        <f>S57/(D57+G57+J57)</f>
        <v>1.196881312416238E-2</v>
      </c>
      <c r="Z57" s="2">
        <f>N57+Q57</f>
        <v>490</v>
      </c>
    </row>
    <row r="58" spans="1:26" x14ac:dyDescent="0.25">
      <c r="A58" s="33" t="s">
        <v>57</v>
      </c>
      <c r="B58" s="745" t="s">
        <v>58</v>
      </c>
      <c r="C58" s="74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152">
        <f t="shared" si="37"/>
        <v>0</v>
      </c>
      <c r="V58" s="152">
        <f t="shared" si="37"/>
        <v>0</v>
      </c>
      <c r="W58" s="465">
        <f>U57-V57</f>
        <v>63.400000000000546</v>
      </c>
      <c r="X58" s="80">
        <f>V57-Z57</f>
        <v>5233.7</v>
      </c>
      <c r="Y58" s="46"/>
    </row>
    <row r="59" spans="1:26" ht="33" customHeight="1" x14ac:dyDescent="0.25">
      <c r="A59" s="33"/>
      <c r="B59" s="726" t="s">
        <v>73</v>
      </c>
      <c r="C59" s="727"/>
      <c r="D59" s="290">
        <v>55101.9</v>
      </c>
      <c r="E59" s="92">
        <v>46926.2</v>
      </c>
      <c r="F59" s="292">
        <f>D59-E59</f>
        <v>8175.7000000000044</v>
      </c>
      <c r="G59" s="92"/>
      <c r="H59" s="92"/>
      <c r="I59" s="92">
        <f t="shared" ref="I59:I60" si="49">G59-H59</f>
        <v>0</v>
      </c>
      <c r="J59" s="92">
        <v>1344</v>
      </c>
      <c r="K59" s="92">
        <v>1300</v>
      </c>
      <c r="L59" s="92">
        <f>J59-K59</f>
        <v>44</v>
      </c>
      <c r="M59" s="92"/>
      <c r="N59" s="92"/>
      <c r="O59" s="92">
        <f>M59-N59</f>
        <v>0</v>
      </c>
      <c r="P59" s="92">
        <v>7184.5</v>
      </c>
      <c r="Q59" s="92">
        <v>7184.5</v>
      </c>
      <c r="R59" s="92">
        <f t="shared" ref="R59:R60" si="50">P59-Q59</f>
        <v>0</v>
      </c>
      <c r="S59" s="92">
        <f>F59+I59+L59+O59+R59</f>
        <v>8219.7000000000044</v>
      </c>
      <c r="T59" s="92"/>
      <c r="U59" s="215">
        <f t="shared" si="37"/>
        <v>63630.400000000001</v>
      </c>
      <c r="V59" s="215">
        <f t="shared" si="37"/>
        <v>55410.7</v>
      </c>
      <c r="W59" s="46"/>
      <c r="X59" s="46"/>
      <c r="Y59" s="46"/>
      <c r="Z59" s="218"/>
    </row>
    <row r="60" spans="1:26" ht="34.5" customHeight="1" thickBot="1" x14ac:dyDescent="0.3">
      <c r="A60" s="33"/>
      <c r="B60" s="724" t="s">
        <v>74</v>
      </c>
      <c r="C60" s="725"/>
      <c r="D60" s="75">
        <v>4386.3</v>
      </c>
      <c r="E60" s="75">
        <v>4386.3</v>
      </c>
      <c r="F60" s="75">
        <f t="shared" ref="F60" si="51">D60-E60</f>
        <v>0</v>
      </c>
      <c r="G60" s="75"/>
      <c r="H60" s="75"/>
      <c r="I60" s="75">
        <f t="shared" si="49"/>
        <v>0</v>
      </c>
      <c r="J60" s="75"/>
      <c r="K60" s="75"/>
      <c r="L60" s="75"/>
      <c r="M60" s="75"/>
      <c r="N60" s="75"/>
      <c r="O60" s="75"/>
      <c r="P60" s="75"/>
      <c r="Q60" s="75"/>
      <c r="R60" s="75">
        <f t="shared" si="50"/>
        <v>0</v>
      </c>
      <c r="S60" s="75">
        <f t="shared" ref="S60" si="52">F60+I60+L60+O60+R60</f>
        <v>0</v>
      </c>
      <c r="T60" s="75"/>
      <c r="U60" s="215">
        <f t="shared" si="37"/>
        <v>4386.3</v>
      </c>
      <c r="V60" s="215">
        <f t="shared" si="37"/>
        <v>4386.3</v>
      </c>
      <c r="W60" s="202"/>
      <c r="X60" s="80">
        <f>E61+H61+K61</f>
        <v>52612.5</v>
      </c>
      <c r="Y60" s="46"/>
    </row>
    <row r="61" spans="1:26" ht="15.75" thickBot="1" x14ac:dyDescent="0.3">
      <c r="A61" s="66"/>
      <c r="B61" s="94" t="s">
        <v>23</v>
      </c>
      <c r="C61" s="64"/>
      <c r="D61" s="76">
        <f>SUM(D58:D60)</f>
        <v>59488.200000000004</v>
      </c>
      <c r="E61" s="76">
        <f t="shared" ref="E61:R61" si="53">SUM(E58:E60)</f>
        <v>51312.5</v>
      </c>
      <c r="F61" s="104">
        <f t="shared" si="53"/>
        <v>8175.7000000000044</v>
      </c>
      <c r="G61" s="76">
        <f t="shared" si="53"/>
        <v>0</v>
      </c>
      <c r="H61" s="76">
        <f t="shared" si="53"/>
        <v>0</v>
      </c>
      <c r="I61" s="77">
        <f t="shared" si="53"/>
        <v>0</v>
      </c>
      <c r="J61" s="76">
        <f t="shared" si="53"/>
        <v>1344</v>
      </c>
      <c r="K61" s="76">
        <f t="shared" si="53"/>
        <v>1300</v>
      </c>
      <c r="L61" s="77">
        <f t="shared" si="53"/>
        <v>44</v>
      </c>
      <c r="M61" s="76">
        <f t="shared" si="53"/>
        <v>0</v>
      </c>
      <c r="N61" s="76">
        <f t="shared" si="53"/>
        <v>0</v>
      </c>
      <c r="O61" s="77">
        <f t="shared" si="53"/>
        <v>0</v>
      </c>
      <c r="P61" s="76">
        <f t="shared" si="53"/>
        <v>7184.5</v>
      </c>
      <c r="Q61" s="76">
        <f t="shared" si="53"/>
        <v>7184.5</v>
      </c>
      <c r="R61" s="77">
        <f t="shared" si="53"/>
        <v>0</v>
      </c>
      <c r="S61" s="104">
        <f>SUM(S58:S60)</f>
        <v>8219.7000000000044</v>
      </c>
      <c r="T61" s="96"/>
      <c r="U61" s="465">
        <f>D61+G61+J61+M61+P61</f>
        <v>68016.700000000012</v>
      </c>
      <c r="V61" s="465">
        <f t="shared" si="37"/>
        <v>59797</v>
      </c>
      <c r="W61" s="323">
        <f t="shared" si="27"/>
        <v>0.12084826226500262</v>
      </c>
      <c r="X61" s="80">
        <f>V61-Z61</f>
        <v>52612.5</v>
      </c>
      <c r="Y61" s="323">
        <f>S61/(D61+G61+J61)</f>
        <v>0.13512087348476634</v>
      </c>
      <c r="Z61" s="2">
        <f>N61+Q61</f>
        <v>7184.5</v>
      </c>
    </row>
    <row r="62" spans="1:26" x14ac:dyDescent="0.25">
      <c r="A62" s="33" t="s">
        <v>60</v>
      </c>
      <c r="B62" s="745" t="s">
        <v>59</v>
      </c>
      <c r="C62" s="74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152">
        <f>D62+G62+J62+M62+P62</f>
        <v>0</v>
      </c>
      <c r="V62" s="152">
        <f t="shared" si="37"/>
        <v>0</v>
      </c>
      <c r="W62" s="465">
        <f>U61-V61</f>
        <v>8219.7000000000116</v>
      </c>
      <c r="X62" s="46"/>
      <c r="Y62" s="46"/>
    </row>
    <row r="63" spans="1:26" ht="33.75" customHeight="1" x14ac:dyDescent="0.25">
      <c r="A63" s="33"/>
      <c r="B63" s="726" t="s">
        <v>73</v>
      </c>
      <c r="C63" s="727"/>
      <c r="D63" s="92">
        <v>21677.5</v>
      </c>
      <c r="E63" s="92">
        <v>18425.8</v>
      </c>
      <c r="F63" s="92">
        <f>D63-E63</f>
        <v>3251.7000000000007</v>
      </c>
      <c r="G63" s="92">
        <v>225.8</v>
      </c>
      <c r="H63" s="92">
        <v>190.9</v>
      </c>
      <c r="I63" s="92">
        <f t="shared" ref="I63:I64" si="54">G63-H63</f>
        <v>34.900000000000006</v>
      </c>
      <c r="J63" s="92">
        <v>5627.3</v>
      </c>
      <c r="K63" s="92">
        <v>5500</v>
      </c>
      <c r="L63" s="92">
        <f>J63-K63</f>
        <v>127.30000000000018</v>
      </c>
      <c r="M63" s="92"/>
      <c r="N63" s="92"/>
      <c r="O63" s="92">
        <f>M63-N63</f>
        <v>0</v>
      </c>
      <c r="P63" s="92">
        <v>1413.2</v>
      </c>
      <c r="Q63" s="92">
        <v>1413.2</v>
      </c>
      <c r="R63" s="92">
        <f t="shared" ref="R63:R64" si="55">P63-Q63</f>
        <v>0</v>
      </c>
      <c r="S63" s="92">
        <f>F63+I63+L63+O63+R63</f>
        <v>3413.900000000001</v>
      </c>
      <c r="T63" s="92"/>
      <c r="U63" s="215">
        <f t="shared" si="37"/>
        <v>28943.8</v>
      </c>
      <c r="V63" s="215">
        <f t="shared" si="37"/>
        <v>25529.9</v>
      </c>
      <c r="W63" s="475"/>
      <c r="X63" s="46"/>
      <c r="Y63" s="46"/>
    </row>
    <row r="64" spans="1:26" ht="32.25" customHeight="1" thickBot="1" x14ac:dyDescent="0.3">
      <c r="A64" s="33"/>
      <c r="B64" s="724" t="s">
        <v>74</v>
      </c>
      <c r="C64" s="725"/>
      <c r="D64" s="75">
        <v>14469</v>
      </c>
      <c r="E64" s="75">
        <v>13527.8</v>
      </c>
      <c r="F64" s="75">
        <f>D64-E64</f>
        <v>941.20000000000073</v>
      </c>
      <c r="G64" s="75">
        <v>299.89999999999998</v>
      </c>
      <c r="H64" s="75">
        <v>280</v>
      </c>
      <c r="I64" s="75">
        <f t="shared" si="54"/>
        <v>19.899999999999977</v>
      </c>
      <c r="J64" s="75"/>
      <c r="K64" s="75"/>
      <c r="L64" s="75"/>
      <c r="M64" s="75"/>
      <c r="N64" s="75"/>
      <c r="O64" s="75"/>
      <c r="P64" s="75"/>
      <c r="Q64" s="75"/>
      <c r="R64" s="75">
        <f t="shared" si="55"/>
        <v>0</v>
      </c>
      <c r="S64" s="75">
        <f t="shared" ref="S64" si="56">F64+I64+L64+O64+R64</f>
        <v>961.1000000000007</v>
      </c>
      <c r="T64" s="75"/>
      <c r="U64" s="215">
        <f t="shared" si="37"/>
        <v>14768.9</v>
      </c>
      <c r="V64" s="215">
        <f t="shared" si="37"/>
        <v>13807.8</v>
      </c>
      <c r="W64" s="46"/>
      <c r="X64" s="46"/>
      <c r="Y64" s="46"/>
    </row>
    <row r="65" spans="1:27" ht="15.75" thickBot="1" x14ac:dyDescent="0.3">
      <c r="A65" s="66"/>
      <c r="B65" s="94" t="s">
        <v>23</v>
      </c>
      <c r="C65" s="64"/>
      <c r="D65" s="76">
        <f>SUM(D62:D64)</f>
        <v>36146.5</v>
      </c>
      <c r="E65" s="76">
        <f>SUM(E62:E64)</f>
        <v>31953.599999999999</v>
      </c>
      <c r="F65" s="77">
        <f>SUM(F62:F64)</f>
        <v>4192.9000000000015</v>
      </c>
      <c r="G65" s="76">
        <f t="shared" ref="G65:R65" si="57">SUM(G62:G64)</f>
        <v>525.70000000000005</v>
      </c>
      <c r="H65" s="76">
        <f t="shared" si="57"/>
        <v>470.9</v>
      </c>
      <c r="I65" s="77">
        <f t="shared" si="57"/>
        <v>54.799999999999983</v>
      </c>
      <c r="J65" s="76">
        <f t="shared" si="57"/>
        <v>5627.3</v>
      </c>
      <c r="K65" s="76">
        <f t="shared" si="57"/>
        <v>5500</v>
      </c>
      <c r="L65" s="77">
        <f t="shared" si="57"/>
        <v>127.30000000000018</v>
      </c>
      <c r="M65" s="76">
        <f t="shared" si="57"/>
        <v>0</v>
      </c>
      <c r="N65" s="76">
        <f t="shared" si="57"/>
        <v>0</v>
      </c>
      <c r="O65" s="77">
        <f t="shared" si="57"/>
        <v>0</v>
      </c>
      <c r="P65" s="76">
        <f t="shared" si="57"/>
        <v>1413.2</v>
      </c>
      <c r="Q65" s="76">
        <f t="shared" si="57"/>
        <v>1413.2</v>
      </c>
      <c r="R65" s="77">
        <f t="shared" si="57"/>
        <v>0</v>
      </c>
      <c r="S65" s="104">
        <f>SUM(S62:S64)</f>
        <v>4375.0000000000018</v>
      </c>
      <c r="T65" s="96"/>
      <c r="U65" s="465">
        <f>D65+G65+J65+M65+P65</f>
        <v>43712.7</v>
      </c>
      <c r="V65" s="465">
        <f t="shared" si="37"/>
        <v>39337.699999999997</v>
      </c>
      <c r="W65" s="323">
        <f t="shared" si="27"/>
        <v>0.1000853298926857</v>
      </c>
      <c r="X65" s="202">
        <f>E65+H65+K65</f>
        <v>37924.5</v>
      </c>
      <c r="Y65" s="323">
        <f>S65/(D65+G65+J65)</f>
        <v>0.1034291185475006</v>
      </c>
      <c r="Z65" s="2">
        <f>N65+Q65</f>
        <v>1413.2</v>
      </c>
    </row>
    <row r="66" spans="1:27" x14ac:dyDescent="0.25">
      <c r="A66" s="33" t="s">
        <v>61</v>
      </c>
      <c r="B66" s="745" t="s">
        <v>62</v>
      </c>
      <c r="C66" s="746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152">
        <f t="shared" si="37"/>
        <v>0</v>
      </c>
      <c r="V66" s="152">
        <f t="shared" si="37"/>
        <v>0</v>
      </c>
      <c r="W66" s="465">
        <f>U65-V65</f>
        <v>4375</v>
      </c>
      <c r="X66" s="198">
        <f>V65-Z65</f>
        <v>37924.5</v>
      </c>
      <c r="Y66" s="46"/>
    </row>
    <row r="67" spans="1:27" ht="32.25" customHeight="1" thickBot="1" x14ac:dyDescent="0.3">
      <c r="A67" s="33"/>
      <c r="B67" s="726" t="s">
        <v>73</v>
      </c>
      <c r="C67" s="727"/>
      <c r="D67" s="289">
        <v>85794.7</v>
      </c>
      <c r="E67" s="92">
        <v>75839.3</v>
      </c>
      <c r="F67" s="485">
        <v>8816.5</v>
      </c>
      <c r="G67" s="92"/>
      <c r="H67" s="92"/>
      <c r="I67" s="92">
        <f>G67-H67</f>
        <v>0</v>
      </c>
      <c r="J67" s="92"/>
      <c r="K67" s="92"/>
      <c r="L67" s="92"/>
      <c r="M67" s="217"/>
      <c r="N67" s="217"/>
      <c r="O67" s="92">
        <f>M67-N67</f>
        <v>0</v>
      </c>
      <c r="P67" s="217"/>
      <c r="Q67" s="92"/>
      <c r="R67" s="92">
        <f>P67-Q67</f>
        <v>0</v>
      </c>
      <c r="S67" s="92"/>
      <c r="T67" s="92"/>
      <c r="U67" s="215">
        <f t="shared" si="37"/>
        <v>85794.7</v>
      </c>
      <c r="V67" s="215">
        <f t="shared" si="37"/>
        <v>75839.3</v>
      </c>
      <c r="W67" s="46"/>
      <c r="X67" s="46"/>
      <c r="Y67" s="46"/>
    </row>
    <row r="68" spans="1:27" ht="34.5" customHeight="1" thickBot="1" x14ac:dyDescent="0.3">
      <c r="A68" s="33"/>
      <c r="B68" s="724" t="s">
        <v>74</v>
      </c>
      <c r="C68" s="725"/>
      <c r="D68" s="75">
        <v>115232.3</v>
      </c>
      <c r="E68" s="75">
        <v>84183</v>
      </c>
      <c r="F68" s="75">
        <v>469.3</v>
      </c>
      <c r="G68" s="75"/>
      <c r="H68" s="75"/>
      <c r="I68" s="92">
        <f>G68-H68</f>
        <v>0</v>
      </c>
      <c r="J68" s="490">
        <v>43224</v>
      </c>
      <c r="K68" s="75"/>
      <c r="L68" s="75"/>
      <c r="M68" s="75"/>
      <c r="N68" s="75"/>
      <c r="O68" s="75"/>
      <c r="P68" s="75">
        <v>7721.8</v>
      </c>
      <c r="Q68" s="75">
        <v>7721.8</v>
      </c>
      <c r="R68" s="75">
        <v>0</v>
      </c>
      <c r="S68" s="75"/>
      <c r="T68" s="75"/>
      <c r="U68" s="215">
        <f>D68+G68+J68+M68+P68</f>
        <v>166178.09999999998</v>
      </c>
      <c r="V68" s="215">
        <f t="shared" si="37"/>
        <v>91904.8</v>
      </c>
      <c r="W68" s="215"/>
      <c r="X68" s="202">
        <f>V69-Z69</f>
        <v>160022.29999999999</v>
      </c>
      <c r="Y68" s="46"/>
    </row>
    <row r="69" spans="1:27" ht="15.75" thickBot="1" x14ac:dyDescent="0.3">
      <c r="A69" s="139"/>
      <c r="B69" s="140" t="s">
        <v>23</v>
      </c>
      <c r="C69" s="140"/>
      <c r="D69" s="141">
        <f>SUM(D66:D68)</f>
        <v>201027</v>
      </c>
      <c r="E69" s="141">
        <f>SUM(E66:E68)</f>
        <v>160022.29999999999</v>
      </c>
      <c r="F69" s="142">
        <f>F67+F68</f>
        <v>9285.7999999999993</v>
      </c>
      <c r="G69" s="141">
        <f>SUM(G66:G68)</f>
        <v>0</v>
      </c>
      <c r="H69" s="141">
        <f>SUM(H66:H68)</f>
        <v>0</v>
      </c>
      <c r="I69" s="142">
        <f t="shared" si="6"/>
        <v>0</v>
      </c>
      <c r="J69" s="141">
        <f>J68</f>
        <v>43224</v>
      </c>
      <c r="K69" s="141"/>
      <c r="L69" s="142">
        <v>0</v>
      </c>
      <c r="M69" s="141">
        <f>M67</f>
        <v>0</v>
      </c>
      <c r="N69" s="141">
        <f>N67</f>
        <v>0</v>
      </c>
      <c r="O69" s="142">
        <v>0</v>
      </c>
      <c r="P69" s="141">
        <f>SUM(P66:P68)</f>
        <v>7721.8</v>
      </c>
      <c r="Q69" s="141">
        <f>SUM(Q66:Q68)</f>
        <v>7721.8</v>
      </c>
      <c r="R69" s="142">
        <f t="shared" si="0"/>
        <v>0</v>
      </c>
      <c r="S69" s="143">
        <f>F69+I69+L69+O69+R69</f>
        <v>9285.7999999999993</v>
      </c>
      <c r="T69" s="144"/>
      <c r="U69" s="465">
        <f t="shared" si="37"/>
        <v>251972.8</v>
      </c>
      <c r="V69" s="465">
        <f>E69+H69+K69+N69+Q69</f>
        <v>167744.09999999998</v>
      </c>
      <c r="W69" s="323">
        <f>S69/(D69+G69+J69+M69+P69)</f>
        <v>3.6852390416743395E-2</v>
      </c>
      <c r="X69" s="202">
        <f>E69+H69+K69</f>
        <v>160022.29999999999</v>
      </c>
      <c r="Y69" s="323">
        <f>S69/(D69+G69+J69)</f>
        <v>3.8017449263257876E-2</v>
      </c>
      <c r="Z69" s="80">
        <f>N69+Q69</f>
        <v>7721.8</v>
      </c>
    </row>
    <row r="70" spans="1:27" ht="16.5" thickBot="1" x14ac:dyDescent="0.3">
      <c r="A70" s="145"/>
      <c r="B70" s="146" t="s">
        <v>63</v>
      </c>
      <c r="C70" s="147"/>
      <c r="D70" s="141">
        <f>D17+D21+D25+D29+D33+D37+D41+D45+D49+D53+D57+D61+D65+D69</f>
        <v>770123.7</v>
      </c>
      <c r="E70" s="141">
        <f>E17+E21+E25+E29+E33+E37+E41+E45+E49+E53+E57+E61+E65+E69</f>
        <v>693452.2</v>
      </c>
      <c r="F70" s="142">
        <f>F17+F21+F25+F29+F33+F37+F41+F45+F49+F53+F57+F61+F65+F69</f>
        <v>44952.599999999991</v>
      </c>
      <c r="G70" s="141">
        <f>G17+G21+G25+G29+G33+G37+G41+G45+G49+G53+G57+G61+G65+G69</f>
        <v>775.7</v>
      </c>
      <c r="H70" s="141">
        <f t="shared" ref="H70:R70" si="58">H17+H21+H25+H29+H33+H37+H41+H45+H49+H53+H57+H61+H65+H69</f>
        <v>680.9</v>
      </c>
      <c r="I70" s="142">
        <f>I17+I21+I25+I29+I33+I37+I41+I45+I49+I53+I57+I61+I65+I69</f>
        <v>94.799999999999983</v>
      </c>
      <c r="J70" s="141">
        <f>J17+J21+J25+J29+J33+J37+J41+J45+J49+J53+J57+J61+J65+J69</f>
        <v>69981.899999999994</v>
      </c>
      <c r="K70" s="141">
        <f t="shared" si="58"/>
        <v>22439.5</v>
      </c>
      <c r="L70" s="142">
        <f>L17+L21+L25+L29+L33+L37+L41+L45+L49+L53+L57+L61+L65+L69</f>
        <v>518.40000000000055</v>
      </c>
      <c r="M70" s="141">
        <f>M17+M21+M25+M29+M33+M37+M41+M45+M49+M53+M57+M61+M65+M69</f>
        <v>89166.7</v>
      </c>
      <c r="N70" s="141">
        <f>N17+N21+N25+N29+N33+N37+N41+N45+N49+N53+N57+N61+N65+N69</f>
        <v>89166.7</v>
      </c>
      <c r="O70" s="142">
        <f>O17+O21+O25+O29+O33+O37+O41+O45+O49+O53+O57+O61+O65+O69</f>
        <v>0</v>
      </c>
      <c r="P70" s="141">
        <f t="shared" si="58"/>
        <v>44249.100000000006</v>
      </c>
      <c r="Q70" s="141">
        <f>Q17+Q21+Q25+Q29+Q33+Q37+Q41+Q45+Q49+Q53+Q57+Q61+Q65+Q69</f>
        <v>44249.100000000006</v>
      </c>
      <c r="R70" s="142">
        <f t="shared" si="58"/>
        <v>0</v>
      </c>
      <c r="S70" s="143">
        <f>S17+S21+S25+S29+S33+S37+S41+S45+S49+S53+S57+S61+S65+S69</f>
        <v>45565.8</v>
      </c>
      <c r="T70" s="144"/>
      <c r="U70" s="200">
        <f>D70+G70+J70+M70+P70</f>
        <v>974297.09999999986</v>
      </c>
      <c r="V70" s="200">
        <f>E70+H70+K70+N70+Q70</f>
        <v>849988.39999999991</v>
      </c>
      <c r="W70" s="580">
        <f>S70/(D70+G70+J70+M70+P70)</f>
        <v>4.6767869882810911E-2</v>
      </c>
      <c r="X70" s="208"/>
      <c r="Y70" s="333">
        <f>S70/(D70+G70+J70)</f>
        <v>5.4188147601807776E-2</v>
      </c>
    </row>
    <row r="71" spans="1:27" x14ac:dyDescent="0.25">
      <c r="E71" s="80">
        <f>F71-F70</f>
        <v>31718.900000000009</v>
      </c>
      <c r="F71" s="80">
        <f>D70-E70</f>
        <v>76671.5</v>
      </c>
      <c r="H71" s="80">
        <f>I70-I71</f>
        <v>0</v>
      </c>
      <c r="I71" s="80">
        <f>G70-H70</f>
        <v>94.800000000000068</v>
      </c>
      <c r="K71" s="80">
        <f>L71-L70</f>
        <v>47023.999999999993</v>
      </c>
      <c r="L71" s="203">
        <f>J70-K70</f>
        <v>47542.399999999994</v>
      </c>
      <c r="O71" s="80">
        <f>M70-N70</f>
        <v>0</v>
      </c>
      <c r="S71" s="484">
        <f>F71+I71+L71+O71</f>
        <v>124308.7</v>
      </c>
      <c r="W71" s="153" t="s">
        <v>79</v>
      </c>
      <c r="Y71" s="26" t="s">
        <v>81</v>
      </c>
    </row>
    <row r="72" spans="1:27" x14ac:dyDescent="0.25">
      <c r="D72" s="26"/>
      <c r="E72" s="26"/>
      <c r="U72" s="469">
        <f>U17+U21+U25+U29+U33+U37+U41+U45+U49+U53+U57+U61+U65+U69</f>
        <v>974297.10000000009</v>
      </c>
      <c r="V72" s="469">
        <f>V17+V21+V25+V29+V33+V37+V41+V45+V49+V53+V57+V61+V65+V69</f>
        <v>849988.39999999979</v>
      </c>
    </row>
    <row r="73" spans="1:27" x14ac:dyDescent="0.25">
      <c r="D73" s="26" t="s">
        <v>13</v>
      </c>
      <c r="E73" s="20"/>
      <c r="F73" s="471">
        <f>D70+G70+J70+M70+P70</f>
        <v>974297.09999999986</v>
      </c>
      <c r="J73" s="26" t="s">
        <v>16</v>
      </c>
      <c r="K73" s="26"/>
      <c r="L73" s="221">
        <f>F70+I70+L70+O70+R70</f>
        <v>45565.799999999996</v>
      </c>
      <c r="N73" s="205">
        <f>P70</f>
        <v>44249.100000000006</v>
      </c>
      <c r="O73" s="283">
        <f>Q70</f>
        <v>44249.100000000006</v>
      </c>
      <c r="P73" s="80">
        <f>N73-O73</f>
        <v>0</v>
      </c>
      <c r="S73" s="20">
        <f>S71-L73</f>
        <v>78742.899999999994</v>
      </c>
      <c r="U73" s="483">
        <f>U70-V70</f>
        <v>124308.69999999995</v>
      </c>
      <c r="V73" s="2"/>
    </row>
    <row r="74" spans="1:27" x14ac:dyDescent="0.25">
      <c r="D74" s="26" t="s">
        <v>12</v>
      </c>
      <c r="E74" s="26"/>
      <c r="F74" s="472">
        <f>E70+H70+K70+N70+Q70</f>
        <v>849988.39999999991</v>
      </c>
      <c r="G74" s="31" t="s">
        <v>64</v>
      </c>
      <c r="H74" s="595">
        <v>225</v>
      </c>
      <c r="M74" s="2"/>
      <c r="R74" s="80">
        <f>E71+K71</f>
        <v>78742.899999999994</v>
      </c>
      <c r="S74" s="586" t="s">
        <v>137</v>
      </c>
      <c r="U74" s="80">
        <f>U73-S70</f>
        <v>78742.899999999951</v>
      </c>
      <c r="V74" t="s">
        <v>134</v>
      </c>
    </row>
    <row r="75" spans="1:27" x14ac:dyDescent="0.25">
      <c r="D75" s="26" t="s">
        <v>15</v>
      </c>
      <c r="F75" s="471">
        <f>E15+E19+E23+E27+E31+E35+E39+E43+E47+E51+E55+E59+E63+E67+H15+H19+H23+H27+H31+H35+H39+H43+H47+H51+H55+H59+H63+H67+K15+K19+K23+K27+K31+K35+K39+K43+K47+K51+K55+K59+K63+K67+N31</f>
        <v>307743.7</v>
      </c>
      <c r="G75" s="31" t="s">
        <v>65</v>
      </c>
      <c r="H75" s="596">
        <f>S80+S81+S82+S83</f>
        <v>76</v>
      </c>
      <c r="J75" s="154" t="s">
        <v>19</v>
      </c>
      <c r="K75" s="334"/>
      <c r="L75" s="323">
        <f>L73/F73</f>
        <v>4.6767869882810904E-2</v>
      </c>
      <c r="M75" s="323">
        <f>L73/(D70+G70+J70+M70)</f>
        <v>4.8992955202312137E-2</v>
      </c>
      <c r="N75" s="293" t="s">
        <v>135</v>
      </c>
      <c r="S75" s="20"/>
      <c r="U75" s="2"/>
      <c r="V75" s="2"/>
      <c r="X75" s="309">
        <f>X16+X21+X24+X29+X33+X37+X40+X45+X48+X53+X57+X61+X65+X69</f>
        <v>805739.3</v>
      </c>
      <c r="Y75" s="309"/>
      <c r="Z75" s="309">
        <f>Z16+Z21+Z24+Z29+Z33+Z37+Z40+Z45+Z48+Z53+Z57+Z61+Z65+Z69</f>
        <v>44249.100000000006</v>
      </c>
    </row>
    <row r="76" spans="1:27" x14ac:dyDescent="0.25">
      <c r="B76" s="218">
        <f>D16+D20+D24+D28+J28+D32++D36+M36+D40+D44+J44+D48+D52+D56+D60++D64+G64+D68+J68</f>
        <v>584866.20000000007</v>
      </c>
      <c r="D76" s="26"/>
      <c r="F76" s="471"/>
      <c r="G76" s="31" t="s">
        <v>65</v>
      </c>
      <c r="H76" s="84"/>
      <c r="L76" s="48"/>
      <c r="V76" s="2"/>
      <c r="X76" s="310" t="s">
        <v>123</v>
      </c>
      <c r="Y76" s="310"/>
      <c r="Z76" s="310" t="s">
        <v>124</v>
      </c>
    </row>
    <row r="77" spans="1:27" x14ac:dyDescent="0.25">
      <c r="D77" s="26" t="s">
        <v>133</v>
      </c>
      <c r="F77" s="471">
        <f>Q70</f>
        <v>44249.100000000006</v>
      </c>
      <c r="G77" s="31"/>
      <c r="H77" s="596">
        <v>66</v>
      </c>
      <c r="J77" s="218"/>
      <c r="L77" s="48"/>
      <c r="R77" s="26"/>
      <c r="S77" s="20"/>
      <c r="V77" s="2"/>
    </row>
    <row r="78" spans="1:27" x14ac:dyDescent="0.25">
      <c r="D78" s="26" t="s">
        <v>66</v>
      </c>
      <c r="F78" s="471">
        <f>E20++E16+E24+E28+E32+E36+E40+E44+E48+E52+E56+E60++E64+E68+K44+H64+N36</f>
        <v>497995.60000000003</v>
      </c>
      <c r="G78" s="31" t="s">
        <v>67</v>
      </c>
      <c r="H78" s="596">
        <f>S84+S85+S86+S87</f>
        <v>83</v>
      </c>
      <c r="I78" s="218"/>
      <c r="L78" s="80"/>
      <c r="N78" s="116"/>
      <c r="O78" s="116"/>
      <c r="P78" s="116" t="s">
        <v>75</v>
      </c>
      <c r="Q78" s="116" t="s">
        <v>76</v>
      </c>
    </row>
    <row r="79" spans="1:27" ht="15.75" thickBot="1" x14ac:dyDescent="0.3">
      <c r="B79" s="602">
        <f>B76-C97</f>
        <v>0</v>
      </c>
      <c r="D79" s="26"/>
      <c r="F79" s="471"/>
      <c r="G79" s="2"/>
      <c r="N79" s="116"/>
      <c r="O79" s="116"/>
      <c r="P79" s="116"/>
      <c r="Q79" s="116"/>
    </row>
    <row r="80" spans="1:27" ht="15.75" thickBot="1" x14ac:dyDescent="0.3">
      <c r="C80" s="205"/>
      <c r="D80" s="205"/>
      <c r="E80" s="202">
        <f>F78+F75+F77</f>
        <v>849988.4</v>
      </c>
      <c r="F80" s="184"/>
      <c r="G80" s="184"/>
      <c r="H80" s="595">
        <f>H75+H76+H78+H77</f>
        <v>225</v>
      </c>
      <c r="N80" s="116" t="s">
        <v>68</v>
      </c>
      <c r="O80" s="116"/>
      <c r="P80" s="116">
        <f>10+41+19+16+11+21+9+4+13+31+43+108-2</f>
        <v>324</v>
      </c>
      <c r="Q80" s="116">
        <f>9+41+16+15+10+21+9+2+13+29+43+104-2</f>
        <v>310</v>
      </c>
      <c r="R80" s="116">
        <v>71</v>
      </c>
      <c r="S80">
        <f>R80-2</f>
        <v>69</v>
      </c>
      <c r="U80" s="298" t="s">
        <v>118</v>
      </c>
      <c r="V80" s="306">
        <v>12</v>
      </c>
      <c r="W80" s="299">
        <v>21387</v>
      </c>
      <c r="X80" s="300">
        <v>19476.400000000001</v>
      </c>
      <c r="Y80">
        <v>12</v>
      </c>
      <c r="Z80" s="364"/>
      <c r="AA80" s="364"/>
    </row>
    <row r="81" spans="2:27" ht="30.75" thickBot="1" x14ac:dyDescent="0.3">
      <c r="B81" s="80">
        <f>F74-F78-F77</f>
        <v>307743.69999999984</v>
      </c>
      <c r="C81" s="473">
        <f>F75+F77+F78</f>
        <v>849988.40000000014</v>
      </c>
      <c r="D81" s="184"/>
      <c r="E81" s="205">
        <f>F76+F77</f>
        <v>44249.100000000006</v>
      </c>
      <c r="F81" s="474">
        <f>F75+F76+F77+F78+F79</f>
        <v>849988.40000000014</v>
      </c>
      <c r="G81" s="222" t="s">
        <v>12</v>
      </c>
      <c r="H81" s="80">
        <f>F78+F77</f>
        <v>542244.70000000007</v>
      </c>
      <c r="I81">
        <f>H77+H78</f>
        <v>149</v>
      </c>
      <c r="N81" s="117" t="s">
        <v>77</v>
      </c>
      <c r="O81" s="116"/>
      <c r="P81" s="116">
        <f>4+4</f>
        <v>8</v>
      </c>
      <c r="Q81" s="116">
        <f>4+4</f>
        <v>8</v>
      </c>
      <c r="R81" s="116">
        <f>1+2</f>
        <v>3</v>
      </c>
      <c r="S81">
        <v>3</v>
      </c>
      <c r="U81" s="301" t="s">
        <v>119</v>
      </c>
      <c r="V81" s="307">
        <f>2+1+1+1+1</f>
        <v>6</v>
      </c>
      <c r="W81" s="302">
        <f>43224+39445.2+82085.5+228386.9+57889.4</f>
        <v>451031</v>
      </c>
      <c r="X81" s="302">
        <f>33136.1+82085.5+220393.4+57021.1</f>
        <v>392636.1</v>
      </c>
      <c r="Y81">
        <f>1+1+1+1+2</f>
        <v>6</v>
      </c>
      <c r="Z81" s="364"/>
      <c r="AA81" s="364"/>
    </row>
    <row r="82" spans="2:27" x14ac:dyDescent="0.25">
      <c r="B82" s="80">
        <f>F75+F77+F78</f>
        <v>849988.40000000014</v>
      </c>
      <c r="N82" s="116" t="s">
        <v>70</v>
      </c>
      <c r="O82" s="116"/>
      <c r="P82" s="116">
        <f>4+2+4+3</f>
        <v>13</v>
      </c>
      <c r="Q82" s="116">
        <f>4+2+4+2</f>
        <v>12</v>
      </c>
      <c r="R82" s="116">
        <f>2+1+1+1</f>
        <v>5</v>
      </c>
      <c r="S82">
        <f>R82-2</f>
        <v>3</v>
      </c>
      <c r="U82" s="301" t="s">
        <v>120</v>
      </c>
      <c r="V82" s="307">
        <f>32+23+4+12+9+16+10+4+10+5+12+6</f>
        <v>143</v>
      </c>
      <c r="W82" s="302">
        <f>186748.6+42299.5+5297.2+29265.8+19221.9+48570.7+19476.6+9546.4+21118.5+5151.4+26557.4+16753.1</f>
        <v>430007.10000000009</v>
      </c>
      <c r="X82" s="302">
        <f>147910+37924.5+5233.7+26863.6+18850.2+47461.4+19438.3+7860.2+15428.5+4196+22752.3+15631.2</f>
        <v>369549.9</v>
      </c>
      <c r="Y82">
        <f>6+12+5+10+4+10+16+9+12+4+23+32</f>
        <v>143</v>
      </c>
      <c r="Z82" s="364"/>
      <c r="AA82" s="364"/>
    </row>
    <row r="83" spans="2:27" x14ac:dyDescent="0.25">
      <c r="B83" s="80"/>
      <c r="E83" s="80"/>
      <c r="N83" s="116" t="s">
        <v>91</v>
      </c>
      <c r="O83" s="116"/>
      <c r="P83" s="116">
        <f>2</f>
        <v>2</v>
      </c>
      <c r="Q83" s="116">
        <f>2</f>
        <v>2</v>
      </c>
      <c r="R83" s="116">
        <f>1</f>
        <v>1</v>
      </c>
      <c r="S83">
        <v>1</v>
      </c>
      <c r="U83" s="301" t="s">
        <v>121</v>
      </c>
      <c r="W83" s="302"/>
      <c r="X83" s="302"/>
      <c r="Z83" s="364"/>
      <c r="AA83" s="364"/>
    </row>
    <row r="84" spans="2:27" x14ac:dyDescent="0.25">
      <c r="B84" s="80">
        <f>F73-F77</f>
        <v>930047.99999999988</v>
      </c>
      <c r="N84" s="116" t="s">
        <v>139</v>
      </c>
      <c r="O84" s="116"/>
      <c r="P84" s="116">
        <f>2</f>
        <v>2</v>
      </c>
      <c r="Q84" s="116">
        <f>2</f>
        <v>2</v>
      </c>
      <c r="R84" s="116">
        <f>2</f>
        <v>2</v>
      </c>
      <c r="S84">
        <v>2</v>
      </c>
      <c r="U84" s="308" t="s">
        <v>122</v>
      </c>
      <c r="V84" s="307">
        <f>1+7</f>
        <v>8</v>
      </c>
      <c r="W84" s="302">
        <f>14278.4+13344.5</f>
        <v>27622.9</v>
      </c>
      <c r="X84" s="302">
        <f>12112+11964.9</f>
        <v>24076.9</v>
      </c>
      <c r="Y84">
        <f>7+1</f>
        <v>8</v>
      </c>
      <c r="Z84" s="364"/>
      <c r="AA84" s="364"/>
    </row>
    <row r="85" spans="2:27" ht="15.75" thickBot="1" x14ac:dyDescent="0.3">
      <c r="N85" s="116" t="s">
        <v>92</v>
      </c>
      <c r="O85" s="116"/>
      <c r="P85" s="116">
        <f>9+19+3+4+1+19+19+17+19+6+5+12+27-3+2</f>
        <v>159</v>
      </c>
      <c r="Q85" s="116">
        <f>7+10+3+3+1+10+9+12+9+5+3+12+16-2+2</f>
        <v>100</v>
      </c>
      <c r="R85" s="116">
        <v>80</v>
      </c>
      <c r="S85">
        <f>R85-2</f>
        <v>78</v>
      </c>
      <c r="U85" s="303"/>
      <c r="V85" s="305">
        <f>SUM(V80:V84)</f>
        <v>169</v>
      </c>
      <c r="W85" s="304">
        <f t="shared" ref="W85:Y85" si="59">SUM(W80:W84)</f>
        <v>930048.00000000012</v>
      </c>
      <c r="X85" s="304">
        <f t="shared" si="59"/>
        <v>805739.3</v>
      </c>
      <c r="Y85">
        <f t="shared" si="59"/>
        <v>169</v>
      </c>
      <c r="Z85" s="364"/>
      <c r="AA85" s="364"/>
    </row>
    <row r="86" spans="2:27" ht="15.75" thickBot="1" x14ac:dyDescent="0.3">
      <c r="F86" s="26" t="s">
        <v>101</v>
      </c>
      <c r="G86" s="26" t="s">
        <v>102</v>
      </c>
      <c r="H86" s="153" t="s">
        <v>82</v>
      </c>
      <c r="I86" s="153" t="s">
        <v>83</v>
      </c>
      <c r="N86" s="116" t="s">
        <v>93</v>
      </c>
      <c r="O86" s="116"/>
      <c r="P86" s="116">
        <f>1</f>
        <v>1</v>
      </c>
      <c r="Q86" s="116">
        <v>1</v>
      </c>
      <c r="R86" s="116">
        <f>1</f>
        <v>1</v>
      </c>
      <c r="S86">
        <v>1</v>
      </c>
      <c r="Z86" s="58"/>
      <c r="AA86" s="58"/>
    </row>
    <row r="87" spans="2:27" ht="15.75" thickBot="1" x14ac:dyDescent="0.3">
      <c r="D87" s="26" t="s">
        <v>68</v>
      </c>
      <c r="F87" s="225">
        <f>D15+D19+D23+D27+D31+D35+D39+D43+D47+D51+D55+D59+D63+D67</f>
        <v>242179.5</v>
      </c>
      <c r="G87" s="225">
        <f>E15+E19+E23+E27+E31+E35+E39+E43+E47+E51+E55+E59+E63+E67</f>
        <v>207234.7</v>
      </c>
      <c r="H87" s="46">
        <f>G87/$G94</f>
        <v>0.24380885668557356</v>
      </c>
      <c r="I87" s="46">
        <f>F87/F94</f>
        <v>0.24856842948624194</v>
      </c>
      <c r="J87" s="26"/>
      <c r="K87" s="46" t="e">
        <f>J87/J94</f>
        <v>#DIV/0!</v>
      </c>
      <c r="N87" s="116" t="s">
        <v>94</v>
      </c>
      <c r="O87" s="116"/>
      <c r="P87" s="591">
        <f>2+2+7+5</f>
        <v>16</v>
      </c>
      <c r="Q87" s="591">
        <f>2+2+7+3</f>
        <v>14</v>
      </c>
      <c r="R87" s="591">
        <v>6</v>
      </c>
      <c r="S87">
        <f>R87-4</f>
        <v>2</v>
      </c>
      <c r="T87" s="31" t="s">
        <v>140</v>
      </c>
      <c r="U87" s="29">
        <f>D70+G70+J70+M70</f>
        <v>930047.99999999988</v>
      </c>
      <c r="V87" s="29">
        <f>E70+H70+K70+N70</f>
        <v>805739.29999999993</v>
      </c>
      <c r="W87" s="2"/>
      <c r="X87" s="29">
        <f>U87-V87</f>
        <v>124308.69999999995</v>
      </c>
      <c r="AA87" s="2"/>
    </row>
    <row r="88" spans="2:27" ht="15.75" thickBot="1" x14ac:dyDescent="0.3">
      <c r="D88" s="26" t="s">
        <v>69</v>
      </c>
      <c r="F88" s="284">
        <f>G15+G19+G23+G27+G31+G35++G39+G43+G47+G51+G55+G59+G63+G67</f>
        <v>475.8</v>
      </c>
      <c r="G88" s="284">
        <f>H15+H19+H23+H27+H31+H35++H39+H43+H47+H51+H55+H59+H63+H67</f>
        <v>400.9</v>
      </c>
      <c r="H88" s="108">
        <f>G88/G94</f>
        <v>4.7165349550652681E-4</v>
      </c>
      <c r="I88" s="46">
        <f>F88/F94</f>
        <v>4.8835206427279732E-4</v>
      </c>
      <c r="J88" s="26"/>
      <c r="K88" s="46" t="e">
        <f>J88/J94</f>
        <v>#DIV/0!</v>
      </c>
      <c r="P88" s="592">
        <f>SUM(P80:P87)</f>
        <v>525</v>
      </c>
      <c r="Q88" s="593">
        <f>SUM(Q80:Q87)</f>
        <v>449</v>
      </c>
      <c r="R88" s="594">
        <f>SUM(R80:R87)</f>
        <v>169</v>
      </c>
      <c r="S88" s="26">
        <f>SUM(S80:S87)</f>
        <v>159</v>
      </c>
      <c r="T88" s="26">
        <v>169</v>
      </c>
      <c r="U88" s="2">
        <f>U87-W85</f>
        <v>0</v>
      </c>
      <c r="V88" s="2">
        <f>V87-X85</f>
        <v>0</v>
      </c>
      <c r="Y88" s="2">
        <f>X85-X75</f>
        <v>0</v>
      </c>
    </row>
    <row r="89" spans="2:27" x14ac:dyDescent="0.25">
      <c r="D89" s="26" t="s">
        <v>70</v>
      </c>
      <c r="F89" s="284">
        <f>J15+J19+J23++J27+J31+J35+J39+J43+J47+J51+J55+J59+J63+J67</f>
        <v>20441</v>
      </c>
      <c r="G89" s="284">
        <f>K15+K19+K23++K27+K31+K35+K39+K43+K47+K51+K55+K59+K63+K67</f>
        <v>18022.599999999999</v>
      </c>
      <c r="H89" s="46">
        <f>G89/G94</f>
        <v>2.1203348186869368E-2</v>
      </c>
      <c r="I89" s="46">
        <f>F89/F94</f>
        <v>2.0980253353930747E-2</v>
      </c>
      <c r="J89" s="26"/>
      <c r="K89" s="46" t="e">
        <f>J89/J94</f>
        <v>#DIV/0!</v>
      </c>
      <c r="S89" s="603">
        <f>S88+66</f>
        <v>225</v>
      </c>
      <c r="T89" t="s">
        <v>145</v>
      </c>
      <c r="X89" s="2">
        <f>X87-U73</f>
        <v>0</v>
      </c>
    </row>
    <row r="90" spans="2:27" x14ac:dyDescent="0.25">
      <c r="D90" s="26" t="s">
        <v>0</v>
      </c>
      <c r="F90" s="284">
        <f>M31</f>
        <v>82085.5</v>
      </c>
      <c r="G90" s="284">
        <f>N31</f>
        <v>82085.5</v>
      </c>
      <c r="H90" s="46">
        <f>G90/G94</f>
        <v>9.6572494401100051E-2</v>
      </c>
      <c r="I90" s="46">
        <f>F90/F94</f>
        <v>8.4250994896731199E-2</v>
      </c>
      <c r="J90" s="26"/>
      <c r="K90" s="46"/>
      <c r="Q90" s="26" t="s">
        <v>141</v>
      </c>
      <c r="R90" s="26">
        <f>R80+R81+R82+R83</f>
        <v>80</v>
      </c>
      <c r="U90" s="20"/>
      <c r="X90" s="2"/>
    </row>
    <row r="91" spans="2:27" x14ac:dyDescent="0.25">
      <c r="D91" s="26" t="s">
        <v>71</v>
      </c>
      <c r="F91" s="226">
        <f>P70</f>
        <v>44249.100000000006</v>
      </c>
      <c r="G91" s="226">
        <f>Q70</f>
        <v>44249.100000000006</v>
      </c>
      <c r="H91" s="46">
        <f>G91/G94</f>
        <v>5.2058475150954998E-2</v>
      </c>
      <c r="I91" s="46">
        <f>F91/F94</f>
        <v>4.5416434063079943E-2</v>
      </c>
      <c r="J91" s="26"/>
      <c r="K91" s="46" t="e">
        <f>J91/J94</f>
        <v>#DIV/0!</v>
      </c>
      <c r="Q91" s="26" t="s">
        <v>143</v>
      </c>
      <c r="R91" s="26">
        <f>R84+R85+R86+R87</f>
        <v>89</v>
      </c>
    </row>
    <row r="92" spans="2:27" x14ac:dyDescent="0.25">
      <c r="D92" s="26" t="s">
        <v>72</v>
      </c>
      <c r="F92" s="285">
        <f>D16+D20+D24+D28+D32+D40+D44+D48+D52+D56+D60+D64+D68+D36+M36+G64+J28+J68+J44</f>
        <v>584866.19999999995</v>
      </c>
      <c r="G92" s="285">
        <f>E16+E20+E24+E28+E32+E40+E44+E48+E52+E56+E60+E64+E68+E36+N36+H64+K28+K68+K44</f>
        <v>497995.60000000003</v>
      </c>
      <c r="H92" s="46">
        <f>G92/G94</f>
        <v>0.58588517207999535</v>
      </c>
      <c r="I92" s="46">
        <f>F92/F94</f>
        <v>0.60029553613574338</v>
      </c>
      <c r="J92" s="26"/>
      <c r="K92" s="46"/>
      <c r="Q92" s="26" t="s">
        <v>144</v>
      </c>
      <c r="R92" s="26">
        <v>28</v>
      </c>
      <c r="Z92" s="2"/>
      <c r="AA92" s="2"/>
    </row>
    <row r="93" spans="2:27" ht="15.75" thickBot="1" x14ac:dyDescent="0.3">
      <c r="D93" s="26"/>
      <c r="F93" s="227"/>
      <c r="G93" s="227"/>
      <c r="H93" s="46"/>
      <c r="I93" s="46"/>
      <c r="J93" s="26"/>
      <c r="K93" s="46" t="e">
        <f>J93/J94</f>
        <v>#DIV/0!</v>
      </c>
      <c r="R93" s="26">
        <f>SUM(R90:R92)</f>
        <v>197</v>
      </c>
      <c r="V93" s="2">
        <f>198834656.22+32223461.52+23176078.81+12875338.53+3568987.53+9476481+47259406.71+128729515.37+23476795.96+8353585.04+11954345.4+11858043.95+26644949.31+140384859.27</f>
        <v>678816504.61999989</v>
      </c>
      <c r="W93" s="2">
        <f>W85-V93</f>
        <v>-677886456.61999989</v>
      </c>
    </row>
    <row r="94" spans="2:27" ht="15.75" thickBot="1" x14ac:dyDescent="0.3">
      <c r="B94" s="80">
        <f>F75-E96</f>
        <v>0</v>
      </c>
      <c r="F94" s="224">
        <f>SUM(F87:F93)</f>
        <v>974297.1</v>
      </c>
      <c r="G94" s="223">
        <f>SUM(G87:G93)</f>
        <v>849988.40000000014</v>
      </c>
      <c r="H94" s="46">
        <f>SUM(H87:H93)</f>
        <v>0.99999999999999989</v>
      </c>
      <c r="I94" s="46">
        <f>F94/F94</f>
        <v>1</v>
      </c>
      <c r="J94" s="154">
        <f>SUM(J87:J93)</f>
        <v>0</v>
      </c>
      <c r="K94" s="46" t="e">
        <f>J94/J94</f>
        <v>#DIV/0!</v>
      </c>
      <c r="Q94" s="256"/>
      <c r="R94" s="58">
        <f>R91+R92</f>
        <v>117</v>
      </c>
      <c r="S94" s="58"/>
      <c r="T94" s="58"/>
      <c r="V94" s="2">
        <f>U87-V93</f>
        <v>-677886456.61999989</v>
      </c>
      <c r="Z94" s="2"/>
    </row>
    <row r="95" spans="2:27" ht="15.75" thickBot="1" x14ac:dyDescent="0.3">
      <c r="B95" s="80">
        <f>G92-F78</f>
        <v>0</v>
      </c>
      <c r="C95" s="206"/>
      <c r="D95" s="209"/>
      <c r="E95" s="321" t="s">
        <v>125</v>
      </c>
      <c r="F95" s="29">
        <f>F94-F91</f>
        <v>930048</v>
      </c>
      <c r="G95" s="29">
        <f>G94-G91</f>
        <v>805739.30000000016</v>
      </c>
      <c r="H95" s="108">
        <f>H87+H88+H89+H90+H91+H92</f>
        <v>0.99999999999999989</v>
      </c>
      <c r="I95" s="108">
        <f>I87+I88+I89+I90+I91+I92</f>
        <v>1</v>
      </c>
      <c r="N95" s="155"/>
      <c r="O95" s="155"/>
      <c r="P95" s="156"/>
      <c r="Q95" s="17"/>
      <c r="R95" s="15"/>
      <c r="S95" s="257"/>
      <c r="T95" s="58"/>
      <c r="V95">
        <v>10</v>
      </c>
    </row>
    <row r="96" spans="2:27" x14ac:dyDescent="0.25">
      <c r="B96" s="29" t="s">
        <v>141</v>
      </c>
      <c r="C96" s="598">
        <f>F87+F88+F89+F90</f>
        <v>345181.8</v>
      </c>
      <c r="D96" s="599">
        <f>G87+G88+G89+G90</f>
        <v>307743.7</v>
      </c>
      <c r="E96" s="207">
        <f>G87+G88+G89+G90</f>
        <v>307743.7</v>
      </c>
      <c r="F96" s="46">
        <f>E96/G94</f>
        <v>0.36205635276904952</v>
      </c>
      <c r="J96" s="80">
        <f>F94-G94</f>
        <v>124308.69999999984</v>
      </c>
      <c r="N96" s="155"/>
      <c r="O96" s="155"/>
      <c r="P96" s="156"/>
      <c r="Q96" s="258"/>
      <c r="R96" s="15"/>
      <c r="S96" s="257"/>
      <c r="T96" s="58"/>
      <c r="U96" s="299"/>
      <c r="V96">
        <f>1+1+1+18</f>
        <v>21</v>
      </c>
    </row>
    <row r="97" spans="1:26" ht="15.75" thickBot="1" x14ac:dyDescent="0.3">
      <c r="B97" s="20" t="s">
        <v>142</v>
      </c>
      <c r="C97" s="600">
        <f>F92</f>
        <v>584866.19999999995</v>
      </c>
      <c r="D97" s="601">
        <f>G92</f>
        <v>497995.60000000003</v>
      </c>
      <c r="E97" s="207">
        <f>G91</f>
        <v>44249.100000000006</v>
      </c>
      <c r="F97" s="46">
        <f>E97/G94</f>
        <v>5.2058475150954998E-2</v>
      </c>
      <c r="H97" s="80">
        <f>F95-F94</f>
        <v>-44249.099999999977</v>
      </c>
      <c r="N97" s="155"/>
      <c r="O97" s="155"/>
      <c r="P97" s="156"/>
      <c r="Q97" s="258"/>
      <c r="R97" s="15"/>
      <c r="S97" s="257"/>
      <c r="T97" s="58"/>
      <c r="U97" s="302"/>
      <c r="V97">
        <f>1+1+1</f>
        <v>3</v>
      </c>
      <c r="Y97" s="2"/>
      <c r="Z97" s="2"/>
    </row>
    <row r="98" spans="1:26" x14ac:dyDescent="0.25">
      <c r="B98" s="20"/>
      <c r="C98" s="20">
        <f>SUM(C96:C97)</f>
        <v>930048</v>
      </c>
      <c r="D98" s="20">
        <f>SUM(D96:D97)</f>
        <v>805739.3</v>
      </c>
      <c r="E98" s="322">
        <f>F91+F92+F93</f>
        <v>629115.29999999993</v>
      </c>
      <c r="F98" s="46">
        <f>E98/G94</f>
        <v>0.74014574787138254</v>
      </c>
      <c r="H98" s="208"/>
      <c r="N98" s="155"/>
      <c r="O98" s="155"/>
      <c r="P98" s="156"/>
      <c r="Q98" s="258"/>
      <c r="R98" s="15"/>
      <c r="S98" s="15"/>
      <c r="T98" s="58"/>
      <c r="U98" s="302"/>
      <c r="V98">
        <f>42+21+10+2+7+12+9+18+13+6+8+11+5</f>
        <v>164</v>
      </c>
    </row>
    <row r="99" spans="1:26" x14ac:dyDescent="0.25">
      <c r="B99" s="26"/>
      <c r="C99" s="20">
        <f>C97+285851.4</f>
        <v>870717.6</v>
      </c>
      <c r="D99" s="20">
        <f>D98+E97</f>
        <v>849988.4</v>
      </c>
      <c r="E99" s="198">
        <f>G92+G93</f>
        <v>497995.60000000003</v>
      </c>
      <c r="F99" s="46">
        <f>E99/G94</f>
        <v>0.58588517207999535</v>
      </c>
      <c r="H99" s="208"/>
      <c r="I99" s="108"/>
      <c r="N99" s="15"/>
      <c r="O99" s="15"/>
      <c r="P99" s="157"/>
      <c r="Q99" s="17"/>
      <c r="R99" s="15"/>
      <c r="S99" s="15"/>
      <c r="T99" s="58"/>
      <c r="U99" s="302"/>
      <c r="V99">
        <v>1</v>
      </c>
    </row>
    <row r="100" spans="1:26" ht="15.75" thickBot="1" x14ac:dyDescent="0.3">
      <c r="D100" s="204"/>
      <c r="E100" s="85">
        <f>E96+E97+E99</f>
        <v>849988.40000000014</v>
      </c>
      <c r="F100" s="323">
        <f>F96+F97+F99</f>
        <v>0.99999999999999989</v>
      </c>
      <c r="H100" s="208"/>
      <c r="N100" s="15"/>
      <c r="O100" s="19"/>
      <c r="P100" s="19"/>
      <c r="Q100" s="17"/>
      <c r="R100" s="15"/>
      <c r="S100" s="15"/>
      <c r="T100" s="58"/>
    </row>
    <row r="101" spans="1:26" ht="15.75" thickBot="1" x14ac:dyDescent="0.3">
      <c r="A101" s="26"/>
      <c r="B101" s="26" t="s">
        <v>148</v>
      </c>
      <c r="C101" s="26" t="s">
        <v>147</v>
      </c>
      <c r="D101" s="162"/>
      <c r="E101" s="163" t="s">
        <v>83</v>
      </c>
      <c r="F101" s="164" t="s">
        <v>84</v>
      </c>
      <c r="G101" s="164" t="s">
        <v>85</v>
      </c>
      <c r="H101" s="165"/>
      <c r="N101" s="15"/>
      <c r="O101" s="15"/>
      <c r="P101" s="15"/>
      <c r="U101" s="266"/>
      <c r="V101" s="267" t="s">
        <v>101</v>
      </c>
      <c r="W101" s="267" t="s">
        <v>110</v>
      </c>
      <c r="X101" s="268" t="s">
        <v>114</v>
      </c>
    </row>
    <row r="102" spans="1:26" ht="19.5" customHeight="1" x14ac:dyDescent="0.25">
      <c r="B102">
        <v>69</v>
      </c>
      <c r="C102">
        <v>71</v>
      </c>
      <c r="D102" s="179" t="s">
        <v>86</v>
      </c>
      <c r="E102" s="228">
        <f>F87</f>
        <v>242179.5</v>
      </c>
      <c r="F102" s="167">
        <f>G87</f>
        <v>207234.7</v>
      </c>
      <c r="G102" s="210">
        <f>F15+F19+F23+F27+F31+F39+F43+F47+F51+F55+F59+F63+F67</f>
        <v>33805.900000000009</v>
      </c>
      <c r="H102" s="168">
        <f>G102/E102</f>
        <v>0.13959026259448057</v>
      </c>
      <c r="I102" s="46">
        <f>J102/J108</f>
        <v>0.6730038022813688</v>
      </c>
      <c r="J102" s="26">
        <v>177</v>
      </c>
      <c r="K102" s="211">
        <f>E102+E116</f>
        <v>770123.70000000007</v>
      </c>
      <c r="L102" s="211">
        <f>F102+F116</f>
        <v>693452.2</v>
      </c>
      <c r="M102" s="26">
        <v>151</v>
      </c>
      <c r="N102" s="195">
        <f>M102/M108</f>
        <v>0.64255319148936174</v>
      </c>
      <c r="O102" s="604">
        <f>M102-4</f>
        <v>147</v>
      </c>
      <c r="P102" s="158"/>
      <c r="Q102">
        <f>C102+C116</f>
        <v>151</v>
      </c>
      <c r="R102">
        <f>B116+B102</f>
        <v>147</v>
      </c>
      <c r="U102" s="259" t="s">
        <v>109</v>
      </c>
      <c r="V102" s="585">
        <f>55+1839.9+83</f>
        <v>1977.9</v>
      </c>
      <c r="W102" s="585">
        <f>55+1839.9+83</f>
        <v>1977.9</v>
      </c>
      <c r="X102" s="281">
        <f>2+4+2</f>
        <v>8</v>
      </c>
      <c r="Y102" s="2">
        <f>1839.9+83+55</f>
        <v>1977.9</v>
      </c>
      <c r="Z102">
        <f>4+2+2</f>
        <v>8</v>
      </c>
    </row>
    <row r="103" spans="1:26" ht="19.5" customHeight="1" x14ac:dyDescent="0.25">
      <c r="B103">
        <v>3</v>
      </c>
      <c r="C103">
        <v>3</v>
      </c>
      <c r="D103" s="180" t="s">
        <v>77</v>
      </c>
      <c r="E103" s="169">
        <f t="shared" ref="E103:F105" si="60">F88</f>
        <v>475.8</v>
      </c>
      <c r="F103" s="169">
        <f t="shared" si="60"/>
        <v>400.9</v>
      </c>
      <c r="G103" s="187">
        <f t="shared" ref="G103" si="61">E103-F103</f>
        <v>74.900000000000034</v>
      </c>
      <c r="H103" s="168">
        <f>G103/E103</f>
        <v>0.15741908364859192</v>
      </c>
      <c r="I103" s="46">
        <f>J103/J108</f>
        <v>1.9011406844106463E-2</v>
      </c>
      <c r="J103" s="26">
        <v>5</v>
      </c>
      <c r="K103" s="211">
        <f>E103+E117</f>
        <v>775.7</v>
      </c>
      <c r="L103" s="211">
        <f>F103+F117</f>
        <v>680.9</v>
      </c>
      <c r="M103" s="26">
        <v>4</v>
      </c>
      <c r="N103" s="195">
        <f>M103/M108</f>
        <v>1.7021276595744681E-2</v>
      </c>
      <c r="O103" s="605">
        <v>4</v>
      </c>
      <c r="P103" s="17"/>
      <c r="Q103">
        <f>C103+C117</f>
        <v>4</v>
      </c>
      <c r="R103">
        <f>B103+B117</f>
        <v>4</v>
      </c>
      <c r="U103" s="260" t="s">
        <v>111</v>
      </c>
      <c r="V103" s="254"/>
      <c r="W103" s="254"/>
      <c r="X103" s="263"/>
      <c r="Y103" s="2"/>
    </row>
    <row r="104" spans="1:26" ht="15.75" thickBot="1" x14ac:dyDescent="0.3">
      <c r="B104">
        <v>3</v>
      </c>
      <c r="C104">
        <v>5</v>
      </c>
      <c r="D104" s="609" t="s">
        <v>70</v>
      </c>
      <c r="E104" s="170">
        <f>F89</f>
        <v>20441</v>
      </c>
      <c r="F104" s="170">
        <f>G89</f>
        <v>18022.599999999999</v>
      </c>
      <c r="G104" s="230">
        <f>L47+L59+L63</f>
        <v>518.40000000000055</v>
      </c>
      <c r="H104" s="189">
        <f>G104/E104</f>
        <v>2.5360794481679005E-2</v>
      </c>
      <c r="I104" s="46">
        <f>J104/J108</f>
        <v>4.5627376425855515E-2</v>
      </c>
      <c r="J104" s="26">
        <v>12</v>
      </c>
      <c r="K104" s="211">
        <f>E104+E119</f>
        <v>69981.899999999994</v>
      </c>
      <c r="L104" s="211">
        <f>F104+F119</f>
        <v>22439.5</v>
      </c>
      <c r="M104" s="26">
        <f>J104-1</f>
        <v>11</v>
      </c>
      <c r="N104" s="195">
        <f>M104/M108</f>
        <v>4.6808510638297871E-2</v>
      </c>
      <c r="O104" s="605">
        <f>11-6</f>
        <v>5</v>
      </c>
      <c r="P104" s="159"/>
      <c r="Q104">
        <f>C104+C119</f>
        <v>11</v>
      </c>
      <c r="R104">
        <f>B104+B119</f>
        <v>5</v>
      </c>
      <c r="U104" s="260" t="s">
        <v>112</v>
      </c>
      <c r="V104" s="581">
        <f>104.7+632.8+687.6+370.8+97.8+5360.1+136.4+451.8+239.7</f>
        <v>8081.7</v>
      </c>
      <c r="W104" s="581">
        <f>104.7+632.8+687.6+370.8+97.8+5360.1+136.4+451.8+239.7</f>
        <v>8081.7</v>
      </c>
      <c r="X104" s="582">
        <f>2+2+5+3+2+3+3+6+4</f>
        <v>30</v>
      </c>
      <c r="Y104" s="2">
        <f>5360.1+451.8+687.6+97.8+370.8+632.8+239.7+136.4+104.7</f>
        <v>8081.7000000000007</v>
      </c>
      <c r="Z104">
        <f>3+6+5+2+3+2+4+3+2</f>
        <v>30</v>
      </c>
    </row>
    <row r="105" spans="1:26" ht="34.5" thickBot="1" x14ac:dyDescent="0.3">
      <c r="B105">
        <v>1</v>
      </c>
      <c r="C105">
        <v>1</v>
      </c>
      <c r="D105" s="610" t="s">
        <v>0</v>
      </c>
      <c r="E105" s="45">
        <f t="shared" si="60"/>
        <v>82085.5</v>
      </c>
      <c r="F105" s="45">
        <f t="shared" si="60"/>
        <v>82085.5</v>
      </c>
      <c r="G105" s="45">
        <f>E105-F105</f>
        <v>0</v>
      </c>
      <c r="H105" s="190">
        <f t="shared" ref="H105" si="62">G105/E105</f>
        <v>0</v>
      </c>
      <c r="I105" s="46">
        <f>J105/J108</f>
        <v>1.1406844106463879E-2</v>
      </c>
      <c r="J105" s="26">
        <v>3</v>
      </c>
      <c r="K105" s="211">
        <f>E105+E118</f>
        <v>89166.7</v>
      </c>
      <c r="L105" s="211">
        <f>F105+F118</f>
        <v>89166.7</v>
      </c>
      <c r="M105" s="26">
        <v>3</v>
      </c>
      <c r="N105" s="195"/>
      <c r="O105" s="606">
        <v>3</v>
      </c>
      <c r="P105" s="159"/>
      <c r="Q105">
        <f>C105+C118</f>
        <v>3</v>
      </c>
      <c r="R105">
        <f>B105+B118</f>
        <v>3</v>
      </c>
      <c r="U105" s="260" t="s">
        <v>136</v>
      </c>
      <c r="V105" s="585">
        <f>430</f>
        <v>430</v>
      </c>
      <c r="W105" s="585">
        <f>430</f>
        <v>430</v>
      </c>
      <c r="X105" s="582">
        <f>1</f>
        <v>1</v>
      </c>
      <c r="Y105" s="2">
        <f>430</f>
        <v>430</v>
      </c>
      <c r="Z105">
        <v>1</v>
      </c>
    </row>
    <row r="106" spans="1:26" ht="21" customHeight="1" thickBot="1" x14ac:dyDescent="0.3">
      <c r="A106" s="48">
        <f>B106/B122</f>
        <v>0.33777777777777779</v>
      </c>
      <c r="B106" s="608">
        <f>SUM(B102:B105)</f>
        <v>76</v>
      </c>
      <c r="C106" s="597">
        <f>SUM(C102:C105)</f>
        <v>80</v>
      </c>
      <c r="D106" s="93"/>
      <c r="E106" s="613">
        <f>SUM(E102:E105)</f>
        <v>345181.8</v>
      </c>
      <c r="F106" s="613">
        <f>SUM(F102:F105)</f>
        <v>307743.7</v>
      </c>
      <c r="G106" s="229"/>
      <c r="H106" s="190"/>
      <c r="I106" s="46">
        <f>J106/J108</f>
        <v>0.2509505703422053</v>
      </c>
      <c r="J106" s="26">
        <v>66</v>
      </c>
      <c r="K106" s="211">
        <f>E107</f>
        <v>44249.100000000006</v>
      </c>
      <c r="L106" s="211">
        <f>F107</f>
        <v>44249.100000000006</v>
      </c>
      <c r="M106" s="26">
        <v>66</v>
      </c>
      <c r="N106" s="195">
        <f>M106/M108</f>
        <v>0.28085106382978725</v>
      </c>
      <c r="O106" s="606">
        <v>66</v>
      </c>
      <c r="P106" s="159"/>
      <c r="Q106">
        <v>66</v>
      </c>
      <c r="R106">
        <v>66</v>
      </c>
      <c r="U106" s="260"/>
      <c r="V106" s="282">
        <f>SUM(V102:V105)</f>
        <v>10489.6</v>
      </c>
      <c r="W106" s="282">
        <f>SUM(W102:W105)</f>
        <v>10489.6</v>
      </c>
      <c r="X106" s="265">
        <f>X102+X103+X104+X105</f>
        <v>39</v>
      </c>
      <c r="Y106" s="2"/>
    </row>
    <row r="107" spans="1:26" ht="27.75" customHeight="1" thickBot="1" x14ac:dyDescent="0.3">
      <c r="A107" s="48">
        <f>B107/B122</f>
        <v>0.29333333333333333</v>
      </c>
      <c r="B107">
        <v>66</v>
      </c>
      <c r="C107">
        <v>66</v>
      </c>
      <c r="D107" s="269" t="s">
        <v>87</v>
      </c>
      <c r="E107" s="270">
        <f>F91</f>
        <v>44249.100000000006</v>
      </c>
      <c r="F107" s="270">
        <f>G91</f>
        <v>44249.100000000006</v>
      </c>
      <c r="G107" s="230"/>
      <c r="H107" s="271"/>
      <c r="I107" s="46">
        <f>J107/J108</f>
        <v>0</v>
      </c>
      <c r="J107" s="26"/>
      <c r="K107" s="211"/>
      <c r="L107" s="211"/>
      <c r="N107" s="195"/>
      <c r="O107" s="607"/>
      <c r="P107" s="159"/>
      <c r="U107" s="277"/>
      <c r="V107" s="294"/>
      <c r="W107" s="294"/>
      <c r="X107" s="265"/>
    </row>
    <row r="108" spans="1:26" ht="15.75" thickBot="1" x14ac:dyDescent="0.3">
      <c r="B108">
        <f>B106+B107</f>
        <v>142</v>
      </c>
      <c r="C108">
        <f>C106+C107</f>
        <v>146</v>
      </c>
      <c r="D108" s="188"/>
      <c r="E108" s="229">
        <f>E106+E107</f>
        <v>389430.9</v>
      </c>
      <c r="F108" s="229">
        <f>F106+F107</f>
        <v>351992.80000000005</v>
      </c>
      <c r="G108" s="229">
        <f>G102+G103+G104</f>
        <v>34399.200000000012</v>
      </c>
      <c r="H108" s="190">
        <f t="shared" ref="H108" si="63">G108/E108</f>
        <v>8.8331973656944049E-2</v>
      </c>
      <c r="I108" s="46">
        <f>J108/J108</f>
        <v>1</v>
      </c>
      <c r="J108" s="588">
        <f>SUM(J102:J107)</f>
        <v>263</v>
      </c>
      <c r="K108" s="587">
        <f>SUM(K102:K106)</f>
        <v>974297.1</v>
      </c>
      <c r="L108" s="212">
        <f>F108+F120</f>
        <v>849988.40000000014</v>
      </c>
      <c r="M108" s="584">
        <f>SUM(M102:M106)</f>
        <v>235</v>
      </c>
      <c r="N108" s="195">
        <f>M108/M108</f>
        <v>1</v>
      </c>
      <c r="O108" s="606">
        <f>SUM(O102:O107)</f>
        <v>225</v>
      </c>
      <c r="P108" s="159" t="s">
        <v>146</v>
      </c>
      <c r="Q108">
        <f>SUM(Q102:Q107)</f>
        <v>235</v>
      </c>
      <c r="R108">
        <f>SUM(R102:R107)</f>
        <v>225</v>
      </c>
      <c r="U108" s="277"/>
      <c r="V108" s="294"/>
      <c r="W108" s="294"/>
      <c r="X108" s="279"/>
    </row>
    <row r="109" spans="1:26" x14ac:dyDescent="0.25">
      <c r="D109" s="272"/>
      <c r="E109" s="273"/>
      <c r="F109" s="273"/>
      <c r="G109" s="273"/>
      <c r="H109" s="274"/>
      <c r="I109" s="26"/>
      <c r="K109" s="275"/>
      <c r="L109" s="275"/>
      <c r="M109" s="276"/>
      <c r="N109" s="195"/>
      <c r="O109" s="160"/>
      <c r="P109" s="159"/>
      <c r="U109" s="277"/>
      <c r="V109" s="278"/>
      <c r="W109" s="278"/>
      <c r="X109" s="279"/>
    </row>
    <row r="110" spans="1:26" ht="15.75" thickBot="1" x14ac:dyDescent="0.3">
      <c r="D110" s="272"/>
      <c r="E110" s="273"/>
      <c r="F110" s="273"/>
      <c r="G110" s="273"/>
      <c r="H110" s="274"/>
      <c r="I110" s="26"/>
      <c r="K110" s="275"/>
      <c r="L110" s="275"/>
      <c r="M110" s="276"/>
      <c r="N110" s="195"/>
      <c r="O110" s="160"/>
      <c r="P110" s="159"/>
      <c r="Q110" s="26">
        <f>Q108-Q106</f>
        <v>169</v>
      </c>
      <c r="R110" s="26">
        <f>R108-R106</f>
        <v>159</v>
      </c>
      <c r="U110" s="277"/>
      <c r="V110" s="294"/>
      <c r="W110" s="294"/>
      <c r="X110" s="279"/>
    </row>
    <row r="111" spans="1:26" ht="15.75" thickBot="1" x14ac:dyDescent="0.3">
      <c r="D111" s="486"/>
      <c r="E111" s="486"/>
      <c r="F111" s="486"/>
      <c r="G111" s="273"/>
      <c r="H111" s="274"/>
      <c r="I111" s="26"/>
      <c r="K111" s="589">
        <f>J108-M108</f>
        <v>28</v>
      </c>
      <c r="L111" s="590" t="s">
        <v>138</v>
      </c>
      <c r="M111" s="241"/>
      <c r="N111" s="195"/>
      <c r="O111" s="160"/>
      <c r="P111" s="159"/>
      <c r="Q111" t="s">
        <v>149</v>
      </c>
      <c r="R111" t="s">
        <v>145</v>
      </c>
      <c r="U111" s="259" t="s">
        <v>115</v>
      </c>
      <c r="V111" s="254">
        <f>2996.9+10682.1</f>
        <v>13679</v>
      </c>
      <c r="W111" s="254">
        <f>2996.9+10682.1</f>
        <v>13679</v>
      </c>
      <c r="X111" s="583">
        <f>3+1</f>
        <v>4</v>
      </c>
      <c r="Y111">
        <f>2996.9+10682.1</f>
        <v>13679</v>
      </c>
      <c r="Z111">
        <f>3+1</f>
        <v>4</v>
      </c>
    </row>
    <row r="112" spans="1:26" x14ac:dyDescent="0.25">
      <c r="D112" s="183"/>
      <c r="E112" s="171"/>
      <c r="F112" s="171"/>
      <c r="G112" s="171"/>
      <c r="H112" s="171"/>
      <c r="K112" s="2"/>
      <c r="N112" s="155"/>
      <c r="O112" s="160"/>
      <c r="P112" s="159"/>
      <c r="U112" s="259" t="s">
        <v>116</v>
      </c>
      <c r="V112" s="254">
        <f>521.8+160.9</f>
        <v>682.69999999999993</v>
      </c>
      <c r="W112" s="254">
        <f>521.8+160.9</f>
        <v>682.69999999999993</v>
      </c>
      <c r="X112" s="583">
        <f>3+6</f>
        <v>9</v>
      </c>
      <c r="Y112">
        <f>160.9+521.8</f>
        <v>682.69999999999993</v>
      </c>
      <c r="Z112">
        <f>3+6</f>
        <v>9</v>
      </c>
    </row>
    <row r="113" spans="1:26" x14ac:dyDescent="0.25">
      <c r="D113" s="183"/>
      <c r="E113" s="171"/>
      <c r="F113" s="171"/>
      <c r="G113" s="171"/>
      <c r="H113" s="171"/>
      <c r="N113" s="155"/>
      <c r="O113" s="160"/>
      <c r="P113" s="159"/>
      <c r="U113" s="259" t="s">
        <v>113</v>
      </c>
      <c r="V113" s="581">
        <f>631.7+1277+1500+1130+3500+1819.6+1200+490+3000+717.5+3332+800</f>
        <v>19397.8</v>
      </c>
      <c r="W113" s="581">
        <f>631.7+1277+1500+1130+3500+1819.6+1200+490+3000+717.5+3332+800</f>
        <v>19397.8</v>
      </c>
      <c r="X113" s="582">
        <f>1+1+1+1+2+1+1+1+1+1+2+1</f>
        <v>14</v>
      </c>
      <c r="Y113" s="2">
        <f>717.5+3500+490+1200+3332+1819.6+1277+800+1500+1130+3000+631.7</f>
        <v>19397.8</v>
      </c>
      <c r="Z113">
        <f>1+1+1+1+2+1+1+1+2+1+1+1</f>
        <v>14</v>
      </c>
    </row>
    <row r="114" spans="1:26" ht="15.75" thickBot="1" x14ac:dyDescent="0.3">
      <c r="D114" s="184"/>
      <c r="E114" s="171"/>
      <c r="F114" s="172" t="s">
        <v>88</v>
      </c>
      <c r="G114" s="172"/>
      <c r="H114" s="172"/>
      <c r="N114" s="15"/>
      <c r="O114" s="161"/>
      <c r="P114" s="156"/>
      <c r="U114" s="259"/>
      <c r="V114" s="254"/>
      <c r="W114" s="254"/>
      <c r="X114" s="297"/>
    </row>
    <row r="115" spans="1:26" ht="25.5" thickBot="1" x14ac:dyDescent="0.3">
      <c r="D115" s="185"/>
      <c r="E115" s="173" t="s">
        <v>83</v>
      </c>
      <c r="F115" s="174" t="s">
        <v>84</v>
      </c>
      <c r="G115" s="175" t="s">
        <v>85</v>
      </c>
      <c r="H115" s="173"/>
      <c r="Q115" s="58"/>
      <c r="R115" s="58"/>
      <c r="S115" s="58"/>
      <c r="T115" s="58"/>
      <c r="U115" s="261"/>
      <c r="V115" s="282">
        <f>V111+V112+V113</f>
        <v>33759.5</v>
      </c>
      <c r="W115" s="282">
        <f>W111+W112+W113</f>
        <v>33759.5</v>
      </c>
      <c r="X115" s="265">
        <f>X111+X112+X113</f>
        <v>27</v>
      </c>
      <c r="Y115" s="2"/>
    </row>
    <row r="116" spans="1:26" ht="15.75" thickBot="1" x14ac:dyDescent="0.3">
      <c r="B116">
        <v>78</v>
      </c>
      <c r="C116">
        <v>80</v>
      </c>
      <c r="D116" s="179" t="s">
        <v>86</v>
      </c>
      <c r="E116" s="213">
        <f>D16+D20+D24+D28+D36+D40+D44+D48+D56+D60+D64+D68+D32+D52</f>
        <v>527944.20000000007</v>
      </c>
      <c r="F116" s="213">
        <f t="shared" ref="F116:G116" si="64">E16+E20+E24+E28+E36+E40+E44+E48+E56+E60+E64+E68+E32+E52</f>
        <v>486217.5</v>
      </c>
      <c r="G116" s="213">
        <f t="shared" si="64"/>
        <v>11146.699999999997</v>
      </c>
      <c r="H116" s="177">
        <f>G116/E116</f>
        <v>2.1113405545510295E-2</v>
      </c>
      <c r="K116" s="232" t="s">
        <v>104</v>
      </c>
      <c r="L116" s="52"/>
      <c r="M116" s="317"/>
      <c r="N116" s="233"/>
      <c r="O116" s="466" t="s">
        <v>86</v>
      </c>
      <c r="Q116" s="58"/>
      <c r="R116" s="58"/>
      <c r="S116" s="58"/>
      <c r="T116" s="58"/>
      <c r="U116" s="262" t="s">
        <v>63</v>
      </c>
      <c r="V116" s="295">
        <f>V106+V115</f>
        <v>44249.1</v>
      </c>
      <c r="W116" s="295">
        <f>W106+W115</f>
        <v>44249.1</v>
      </c>
      <c r="X116" s="296">
        <f>X106+X115</f>
        <v>66</v>
      </c>
      <c r="Y116" s="2">
        <f>Y102+Y103+Y104+Y105+Y111+Y112+Y113</f>
        <v>44249.1</v>
      </c>
      <c r="Z116">
        <f>Z102+Z103+Z104+Z105+Z111+Z112+Z113+Z114</f>
        <v>66</v>
      </c>
    </row>
    <row r="117" spans="1:26" ht="15.75" thickBot="1" x14ac:dyDescent="0.3">
      <c r="B117">
        <v>1</v>
      </c>
      <c r="C117">
        <v>1</v>
      </c>
      <c r="D117" s="180" t="s">
        <v>77</v>
      </c>
      <c r="E117" s="176">
        <f>G16+G20+G24+G32++G40+G44+G52+G56+G60+G64+G68+G48</f>
        <v>299.89999999999998</v>
      </c>
      <c r="F117" s="176">
        <f t="shared" ref="F117:G117" si="65">H16+H20+H24+H32++H40+H44+H52+H56+H60+H64+H68+H48</f>
        <v>280</v>
      </c>
      <c r="G117" s="176">
        <f t="shared" si="65"/>
        <v>19.899999999999977</v>
      </c>
      <c r="H117" s="178">
        <f t="shared" ref="H117:H121" si="66">G117/E117</f>
        <v>6.6355451817272357E-2</v>
      </c>
      <c r="K117" s="90"/>
      <c r="L117" s="57"/>
      <c r="M117" s="318"/>
      <c r="N117" s="58"/>
      <c r="O117" s="467" t="s">
        <v>86</v>
      </c>
      <c r="Q117" s="58"/>
      <c r="R117" s="58"/>
      <c r="S117" s="58"/>
      <c r="T117" s="58"/>
    </row>
    <row r="118" spans="1:26" ht="27.75" thickBot="1" x14ac:dyDescent="0.3">
      <c r="B118">
        <v>2</v>
      </c>
      <c r="C118">
        <v>2</v>
      </c>
      <c r="D118" s="488" t="s">
        <v>0</v>
      </c>
      <c r="E118" s="176">
        <f>M36</f>
        <v>7081.2</v>
      </c>
      <c r="F118" s="176">
        <f>N36</f>
        <v>7081.2</v>
      </c>
      <c r="G118" s="176">
        <f t="shared" ref="G118" si="67">O36</f>
        <v>0</v>
      </c>
      <c r="H118" s="178"/>
      <c r="K118" s="90"/>
      <c r="L118" s="57"/>
      <c r="M118" s="313"/>
      <c r="N118" s="58"/>
      <c r="O118" s="467" t="s">
        <v>86</v>
      </c>
      <c r="Q118" s="58"/>
      <c r="R118" s="58"/>
      <c r="S118" s="58"/>
      <c r="T118" s="58"/>
      <c r="V118">
        <f>736.4+3332+1413.2+13818.5+490+1200+7721.8+527.8+2245.4+7184.5+1130+1500+1909.8+1039.7</f>
        <v>44249.1</v>
      </c>
      <c r="W118" s="2">
        <f>V118-V116</f>
        <v>0</v>
      </c>
      <c r="Y118" s="2">
        <f>Y116-V118</f>
        <v>0</v>
      </c>
    </row>
    <row r="119" spans="1:26" ht="15.75" thickBot="1" x14ac:dyDescent="0.3">
      <c r="B119">
        <v>2</v>
      </c>
      <c r="C119">
        <v>6</v>
      </c>
      <c r="D119" s="487" t="s">
        <v>89</v>
      </c>
      <c r="E119" s="176">
        <f>J68+J28+J44</f>
        <v>49540.9</v>
      </c>
      <c r="F119" s="176">
        <f>K44</f>
        <v>4416.8999999999996</v>
      </c>
      <c r="G119" s="176">
        <f>O28</f>
        <v>0</v>
      </c>
      <c r="H119" s="178">
        <f>G119/E119</f>
        <v>0</v>
      </c>
      <c r="K119" s="90"/>
      <c r="L119" s="57"/>
      <c r="M119" s="240">
        <f>SUM(M116:M118)</f>
        <v>0</v>
      </c>
      <c r="N119" s="231"/>
      <c r="O119" s="467" t="s">
        <v>86</v>
      </c>
      <c r="Q119" s="58"/>
      <c r="R119" s="58"/>
      <c r="S119" s="58"/>
      <c r="T119" s="58"/>
    </row>
    <row r="120" spans="1:26" ht="15.75" thickBot="1" x14ac:dyDescent="0.3">
      <c r="D120" s="166" t="s">
        <v>23</v>
      </c>
      <c r="E120" s="213">
        <f>SUM(E116:E119)</f>
        <v>584866.20000000007</v>
      </c>
      <c r="F120" s="213">
        <f t="shared" ref="F120:G120" si="68">SUM(F116:F119)</f>
        <v>497995.60000000003</v>
      </c>
      <c r="G120" s="213">
        <f t="shared" si="68"/>
        <v>11166.599999999997</v>
      </c>
      <c r="H120" s="178">
        <f t="shared" si="66"/>
        <v>1.9092571942095467E-2</v>
      </c>
      <c r="I120" s="186"/>
      <c r="K120" s="234" t="s">
        <v>105</v>
      </c>
      <c r="L120" s="238"/>
      <c r="M120" s="314"/>
      <c r="N120" s="58"/>
      <c r="O120" s="467" t="s">
        <v>86</v>
      </c>
      <c r="Q120" s="58"/>
      <c r="R120" s="58"/>
      <c r="S120" s="58"/>
      <c r="T120" s="58"/>
    </row>
    <row r="121" spans="1:26" ht="15.75" thickBot="1" x14ac:dyDescent="0.3">
      <c r="A121" s="48">
        <f>B121/B122</f>
        <v>0.36888888888888888</v>
      </c>
      <c r="B121">
        <f>SUM(B116:B120)</f>
        <v>83</v>
      </c>
      <c r="C121">
        <f>SUM(C116:C120)</f>
        <v>89</v>
      </c>
      <c r="D121" s="191" t="s">
        <v>90</v>
      </c>
      <c r="E121" s="214">
        <f>E108+E120</f>
        <v>974297.10000000009</v>
      </c>
      <c r="F121" s="214">
        <f>F108+F120</f>
        <v>849988.40000000014</v>
      </c>
      <c r="G121" s="214">
        <f>G108+G120</f>
        <v>45565.80000000001</v>
      </c>
      <c r="H121" s="192">
        <f t="shared" si="66"/>
        <v>4.6767869882810904E-2</v>
      </c>
      <c r="I121" s="154"/>
      <c r="K121" s="90"/>
      <c r="L121" s="57"/>
      <c r="M121" s="318"/>
      <c r="N121" s="252"/>
      <c r="O121" s="467"/>
      <c r="Q121" s="58"/>
      <c r="R121" s="58"/>
      <c r="S121" s="58"/>
      <c r="T121" s="58"/>
    </row>
    <row r="122" spans="1:26" ht="15.75" thickBot="1" x14ac:dyDescent="0.3">
      <c r="A122" s="615">
        <f>A106+A107+A121</f>
        <v>1</v>
      </c>
      <c r="B122">
        <f>B108+B121</f>
        <v>225</v>
      </c>
      <c r="C122">
        <f>C108+C121</f>
        <v>235</v>
      </c>
      <c r="K122" s="53"/>
      <c r="L122" s="54"/>
      <c r="M122" s="241">
        <f>SUM(M120:M121)</f>
        <v>0</v>
      </c>
      <c r="N122" s="231"/>
      <c r="O122" s="468"/>
      <c r="Q122" s="58"/>
      <c r="R122" s="58"/>
      <c r="S122" s="58"/>
      <c r="T122" s="58"/>
    </row>
    <row r="123" spans="1:26" x14ac:dyDescent="0.25">
      <c r="E123" s="2">
        <f>E121-974297.1</f>
        <v>0</v>
      </c>
      <c r="K123" s="58"/>
      <c r="L123" s="58"/>
      <c r="M123" s="276"/>
      <c r="N123" s="611"/>
      <c r="O123" s="612"/>
      <c r="Q123" s="58"/>
      <c r="R123" s="58"/>
      <c r="S123" s="58"/>
      <c r="T123" s="58"/>
    </row>
    <row r="124" spans="1:26" x14ac:dyDescent="0.25">
      <c r="B124" s="26" t="s">
        <v>103</v>
      </c>
      <c r="D124" s="179" t="s">
        <v>86</v>
      </c>
      <c r="E124" s="26"/>
      <c r="F124" s="242"/>
      <c r="G124" s="31"/>
      <c r="N124" s="26">
        <f>N119+N122</f>
        <v>0</v>
      </c>
      <c r="Q124" s="58"/>
      <c r="R124" s="58"/>
      <c r="S124" s="58"/>
      <c r="T124" s="58"/>
    </row>
    <row r="125" spans="1:26" ht="15.75" thickBot="1" x14ac:dyDescent="0.3">
      <c r="D125" s="180" t="s">
        <v>77</v>
      </c>
      <c r="E125" s="26"/>
      <c r="F125" s="242"/>
      <c r="G125" s="31"/>
      <c r="M125" s="287">
        <f>(M119+M122)</f>
        <v>0</v>
      </c>
    </row>
    <row r="126" spans="1:26" ht="15.75" thickBot="1" x14ac:dyDescent="0.3">
      <c r="E126" s="243">
        <f>SUM(E124:E125)</f>
        <v>0</v>
      </c>
      <c r="F126" s="244">
        <f>F124+F125</f>
        <v>0</v>
      </c>
      <c r="I126" s="2">
        <f>L132</f>
        <v>0</v>
      </c>
      <c r="M126" s="29">
        <f>M125/1000</f>
        <v>0</v>
      </c>
      <c r="N126" s="208"/>
      <c r="O126" s="315">
        <f>M125-M118</f>
        <v>0</v>
      </c>
      <c r="P126" s="316">
        <f>8-N118-N120</f>
        <v>8</v>
      </c>
    </row>
    <row r="128" spans="1:26" ht="15.75" x14ac:dyDescent="0.25">
      <c r="E128" s="320">
        <v>131</v>
      </c>
      <c r="F128" s="319">
        <f>F126+M126</f>
        <v>0</v>
      </c>
      <c r="M128" s="208"/>
    </row>
    <row r="129" spans="3:13" x14ac:dyDescent="0.25">
      <c r="C129" s="26">
        <f>C102+E124</f>
        <v>71</v>
      </c>
      <c r="I129" s="26">
        <f>E126+N124</f>
        <v>0</v>
      </c>
      <c r="J129" s="293">
        <f>M126+(F126/1000)</f>
        <v>0</v>
      </c>
      <c r="M129" s="208">
        <f>M116+M117+M121</f>
        <v>0</v>
      </c>
    </row>
    <row r="130" spans="3:13" x14ac:dyDescent="0.25">
      <c r="C130" s="26">
        <f>C103+E125</f>
        <v>3</v>
      </c>
      <c r="M130" s="209">
        <f>M129+J35</f>
        <v>0</v>
      </c>
    </row>
    <row r="131" spans="3:13" x14ac:dyDescent="0.25">
      <c r="M131" s="209">
        <f>M116+M117+M118+M120+M121+E116+E117</f>
        <v>528244.10000000009</v>
      </c>
    </row>
  </sheetData>
  <mergeCells count="76">
    <mergeCell ref="B67:C67"/>
    <mergeCell ref="B68:C68"/>
    <mergeCell ref="B59:C59"/>
    <mergeCell ref="B60:C60"/>
    <mergeCell ref="B62:C62"/>
    <mergeCell ref="B63:C63"/>
    <mergeCell ref="B64:C64"/>
    <mergeCell ref="B66:C66"/>
    <mergeCell ref="B58:C58"/>
    <mergeCell ref="B43:C43"/>
    <mergeCell ref="B44:C44"/>
    <mergeCell ref="B46:C46"/>
    <mergeCell ref="B47:C47"/>
    <mergeCell ref="B48:C48"/>
    <mergeCell ref="B50:C50"/>
    <mergeCell ref="B51:C51"/>
    <mergeCell ref="B52:C52"/>
    <mergeCell ref="B54:C54"/>
    <mergeCell ref="B55:C55"/>
    <mergeCell ref="B56:C56"/>
    <mergeCell ref="B42:C42"/>
    <mergeCell ref="B27:C27"/>
    <mergeCell ref="B28:C28"/>
    <mergeCell ref="B30:C30"/>
    <mergeCell ref="B31:C31"/>
    <mergeCell ref="B32:C32"/>
    <mergeCell ref="B34:C34"/>
    <mergeCell ref="B35:C35"/>
    <mergeCell ref="B36:C36"/>
    <mergeCell ref="B38:C38"/>
    <mergeCell ref="B39:C39"/>
    <mergeCell ref="B40:C40"/>
    <mergeCell ref="B26:C26"/>
    <mergeCell ref="O11:O12"/>
    <mergeCell ref="Q11:Q12"/>
    <mergeCell ref="R11:R12"/>
    <mergeCell ref="B13:C13"/>
    <mergeCell ref="B15:C15"/>
    <mergeCell ref="B16:C16"/>
    <mergeCell ref="B19:C19"/>
    <mergeCell ref="B20:C20"/>
    <mergeCell ref="B22:C22"/>
    <mergeCell ref="B23:C23"/>
    <mergeCell ref="B24:C24"/>
    <mergeCell ref="J10:L10"/>
    <mergeCell ref="M10:O10"/>
    <mergeCell ref="B11:C11"/>
    <mergeCell ref="E11:E12"/>
    <mergeCell ref="F11:F12"/>
    <mergeCell ref="H11:H12"/>
    <mergeCell ref="I11:I12"/>
    <mergeCell ref="K11:K12"/>
    <mergeCell ref="L11:L12"/>
    <mergeCell ref="N11:N12"/>
    <mergeCell ref="J8:L8"/>
    <mergeCell ref="M8:O8"/>
    <mergeCell ref="P8:R8"/>
    <mergeCell ref="J9:L9"/>
    <mergeCell ref="M9:O9"/>
    <mergeCell ref="P9:R9"/>
    <mergeCell ref="D2:Q2"/>
    <mergeCell ref="G3:N3"/>
    <mergeCell ref="R4:T4"/>
    <mergeCell ref="A5:A10"/>
    <mergeCell ref="B5:C10"/>
    <mergeCell ref="D5:F10"/>
    <mergeCell ref="G5:I10"/>
    <mergeCell ref="J5:L5"/>
    <mergeCell ref="M5:O5"/>
    <mergeCell ref="P5:R5"/>
    <mergeCell ref="J6:L6"/>
    <mergeCell ref="M6:O6"/>
    <mergeCell ref="P6:R6"/>
    <mergeCell ref="J7:L7"/>
    <mergeCell ref="M7:O7"/>
    <mergeCell ref="P7:R7"/>
  </mergeCells>
  <pageMargins left="0" right="0" top="0" bottom="0" header="0" footer="0"/>
  <pageSetup paperSize="9" scale="7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topLeftCell="A55" zoomScaleNormal="100" workbookViewId="0">
      <selection activeCell="T29" sqref="T29"/>
    </sheetView>
  </sheetViews>
  <sheetFormatPr defaultRowHeight="15" x14ac:dyDescent="0.25"/>
  <cols>
    <col min="1" max="1" width="3.42578125" customWidth="1"/>
    <col min="2" max="2" width="13.5703125" bestFit="1" customWidth="1"/>
    <col min="3" max="3" width="11.85546875" customWidth="1"/>
    <col min="4" max="4" width="10.5703125" customWidth="1"/>
    <col min="5" max="5" width="10.7109375" customWidth="1"/>
    <col min="6" max="6" width="12" customWidth="1"/>
    <col min="7" max="7" width="8.28515625" customWidth="1"/>
    <col min="8" max="8" width="8.140625" customWidth="1"/>
    <col min="9" max="10" width="10.140625" customWidth="1"/>
    <col min="11" max="12" width="9.5703125" customWidth="1"/>
    <col min="13" max="13" width="9.85546875" customWidth="1"/>
    <col min="14" max="14" width="8.42578125" customWidth="1"/>
    <col min="15" max="15" width="8.85546875" customWidth="1"/>
    <col min="16" max="16" width="9.85546875" customWidth="1"/>
    <col min="17" max="17" width="10.28515625" customWidth="1"/>
    <col min="19" max="19" width="12.42578125" bestFit="1" customWidth="1"/>
    <col min="20" max="20" width="9.5703125" bestFit="1" customWidth="1"/>
    <col min="21" max="21" width="7" customWidth="1"/>
    <col min="22" max="22" width="13.42578125" customWidth="1"/>
    <col min="23" max="23" width="15.7109375" customWidth="1"/>
    <col min="24" max="24" width="14.42578125" customWidth="1"/>
    <col min="25" max="25" width="13.28515625" bestFit="1" customWidth="1"/>
    <col min="26" max="26" width="13.5703125" bestFit="1" customWidth="1"/>
  </cols>
  <sheetData>
    <row r="1" spans="1:26" x14ac:dyDescent="0.25">
      <c r="R1" s="26" t="s">
        <v>24</v>
      </c>
      <c r="S1" s="26"/>
    </row>
    <row r="2" spans="1:26" ht="18.75" x14ac:dyDescent="0.25">
      <c r="D2" s="736" t="s">
        <v>26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</row>
    <row r="3" spans="1:26" ht="24.75" customHeight="1" x14ac:dyDescent="0.25">
      <c r="F3" s="62"/>
      <c r="G3" s="736" t="s">
        <v>132</v>
      </c>
      <c r="H3" s="737"/>
      <c r="I3" s="737"/>
      <c r="J3" s="737"/>
      <c r="K3" s="737"/>
      <c r="L3" s="737"/>
      <c r="M3" s="737"/>
      <c r="N3" s="737"/>
      <c r="O3" s="62"/>
      <c r="P3" s="62"/>
    </row>
    <row r="4" spans="1:26" ht="12" customHeight="1" thickBot="1" x14ac:dyDescent="0.3">
      <c r="D4" s="18"/>
      <c r="E4" s="19"/>
      <c r="F4" s="19"/>
      <c r="G4" s="15"/>
      <c r="H4" s="19"/>
      <c r="I4" s="15"/>
      <c r="R4" s="739" t="s">
        <v>27</v>
      </c>
      <c r="S4" s="739"/>
      <c r="T4" s="739"/>
    </row>
    <row r="5" spans="1:26" ht="15" customHeight="1" x14ac:dyDescent="0.25">
      <c r="A5" s="766" t="s">
        <v>28</v>
      </c>
      <c r="B5" s="754" t="s">
        <v>29</v>
      </c>
      <c r="C5" s="755"/>
      <c r="D5" s="771" t="s">
        <v>2</v>
      </c>
      <c r="E5" s="754"/>
      <c r="F5" s="755"/>
      <c r="G5" s="754" t="s">
        <v>3</v>
      </c>
      <c r="H5" s="754"/>
      <c r="I5" s="755"/>
      <c r="J5" s="773"/>
      <c r="K5" s="774"/>
      <c r="L5" s="775"/>
      <c r="M5" s="771"/>
      <c r="N5" s="754"/>
      <c r="O5" s="754"/>
      <c r="P5" s="771"/>
      <c r="Q5" s="754"/>
      <c r="R5" s="755"/>
      <c r="S5" s="123"/>
      <c r="T5" s="124"/>
    </row>
    <row r="6" spans="1:26" ht="15" customHeight="1" x14ac:dyDescent="0.25">
      <c r="A6" s="767"/>
      <c r="B6" s="758"/>
      <c r="C6" s="759"/>
      <c r="D6" s="757"/>
      <c r="E6" s="758"/>
      <c r="F6" s="759"/>
      <c r="G6" s="758"/>
      <c r="H6" s="758"/>
      <c r="I6" s="759"/>
      <c r="J6" s="757"/>
      <c r="K6" s="758"/>
      <c r="L6" s="759"/>
      <c r="M6" s="757"/>
      <c r="N6" s="758"/>
      <c r="O6" s="758"/>
      <c r="P6" s="757"/>
      <c r="Q6" s="758"/>
      <c r="R6" s="759"/>
      <c r="S6" s="125"/>
      <c r="T6" s="126"/>
    </row>
    <row r="7" spans="1:26" x14ac:dyDescent="0.25">
      <c r="A7" s="767"/>
      <c r="B7" s="758"/>
      <c r="C7" s="759"/>
      <c r="D7" s="757"/>
      <c r="E7" s="758"/>
      <c r="F7" s="759"/>
      <c r="G7" s="758"/>
      <c r="H7" s="758"/>
      <c r="I7" s="759"/>
      <c r="J7" s="757"/>
      <c r="K7" s="758"/>
      <c r="L7" s="759"/>
      <c r="M7" s="757"/>
      <c r="N7" s="758"/>
      <c r="O7" s="758"/>
      <c r="P7" s="757"/>
      <c r="Q7" s="758"/>
      <c r="R7" s="759"/>
      <c r="S7" s="125"/>
      <c r="T7" s="126"/>
    </row>
    <row r="8" spans="1:26" ht="15" customHeight="1" x14ac:dyDescent="0.25">
      <c r="A8" s="767"/>
      <c r="B8" s="758"/>
      <c r="C8" s="759"/>
      <c r="D8" s="757"/>
      <c r="E8" s="758"/>
      <c r="F8" s="759"/>
      <c r="G8" s="758"/>
      <c r="H8" s="758"/>
      <c r="I8" s="759"/>
      <c r="J8" s="757" t="s">
        <v>4</v>
      </c>
      <c r="K8" s="758"/>
      <c r="L8" s="758"/>
      <c r="M8" s="757" t="s">
        <v>0</v>
      </c>
      <c r="N8" s="758"/>
      <c r="O8" s="759"/>
      <c r="P8" s="757" t="s">
        <v>5</v>
      </c>
      <c r="Q8" s="758"/>
      <c r="R8" s="759"/>
      <c r="S8" s="125"/>
      <c r="T8" s="126"/>
    </row>
    <row r="9" spans="1:26" x14ac:dyDescent="0.25">
      <c r="A9" s="767"/>
      <c r="B9" s="758"/>
      <c r="C9" s="759"/>
      <c r="D9" s="757"/>
      <c r="E9" s="758"/>
      <c r="F9" s="759"/>
      <c r="G9" s="758"/>
      <c r="H9" s="758"/>
      <c r="I9" s="759"/>
      <c r="J9" s="760"/>
      <c r="K9" s="761"/>
      <c r="L9" s="762"/>
      <c r="M9" s="763"/>
      <c r="N9" s="764"/>
      <c r="O9" s="765"/>
      <c r="P9" s="763"/>
      <c r="Q9" s="764"/>
      <c r="R9" s="765"/>
      <c r="S9" s="125"/>
      <c r="T9" s="126"/>
    </row>
    <row r="10" spans="1:26" ht="15.75" thickBot="1" x14ac:dyDescent="0.3">
      <c r="A10" s="768"/>
      <c r="B10" s="769"/>
      <c r="C10" s="770"/>
      <c r="D10" s="772"/>
      <c r="E10" s="769"/>
      <c r="F10" s="770"/>
      <c r="G10" s="769"/>
      <c r="H10" s="769"/>
      <c r="I10" s="770"/>
      <c r="J10" s="751"/>
      <c r="K10" s="752"/>
      <c r="L10" s="753"/>
      <c r="M10" s="751"/>
      <c r="N10" s="752"/>
      <c r="O10" s="752"/>
      <c r="P10" s="127"/>
      <c r="Q10" s="128"/>
      <c r="R10" s="129"/>
      <c r="S10" s="130"/>
      <c r="T10" s="482"/>
      <c r="U10" s="27"/>
      <c r="V10" s="27"/>
    </row>
    <row r="11" spans="1:26" ht="72" customHeight="1" thickBot="1" x14ac:dyDescent="0.3">
      <c r="A11" s="480"/>
      <c r="B11" s="754" t="s">
        <v>30</v>
      </c>
      <c r="C11" s="755"/>
      <c r="D11" s="133" t="s">
        <v>37</v>
      </c>
      <c r="E11" s="749" t="s">
        <v>9</v>
      </c>
      <c r="F11" s="747" t="s">
        <v>39</v>
      </c>
      <c r="G11" s="133" t="s">
        <v>38</v>
      </c>
      <c r="H11" s="749" t="s">
        <v>9</v>
      </c>
      <c r="I11" s="747" t="s">
        <v>39</v>
      </c>
      <c r="J11" s="133" t="s">
        <v>38</v>
      </c>
      <c r="K11" s="749" t="s">
        <v>11</v>
      </c>
      <c r="L11" s="747" t="s">
        <v>39</v>
      </c>
      <c r="M11" s="133" t="s">
        <v>38</v>
      </c>
      <c r="N11" s="749" t="s">
        <v>9</v>
      </c>
      <c r="O11" s="747" t="s">
        <v>39</v>
      </c>
      <c r="P11" s="133" t="s">
        <v>38</v>
      </c>
      <c r="Q11" s="749" t="s">
        <v>9</v>
      </c>
      <c r="R11" s="747" t="s">
        <v>39</v>
      </c>
      <c r="S11" s="134" t="s">
        <v>17</v>
      </c>
      <c r="T11" s="481" t="s">
        <v>18</v>
      </c>
      <c r="U11" s="27"/>
      <c r="V11" s="27"/>
    </row>
    <row r="12" spans="1:26" ht="15.75" hidden="1" customHeight="1" thickBot="1" x14ac:dyDescent="0.3">
      <c r="A12" s="480"/>
      <c r="B12" s="136"/>
      <c r="C12" s="136"/>
      <c r="D12" s="137" t="s">
        <v>8</v>
      </c>
      <c r="E12" s="756"/>
      <c r="F12" s="748"/>
      <c r="G12" s="138" t="s">
        <v>8</v>
      </c>
      <c r="H12" s="750"/>
      <c r="I12" s="748"/>
      <c r="J12" s="138" t="s">
        <v>8</v>
      </c>
      <c r="K12" s="750"/>
      <c r="L12" s="748"/>
      <c r="M12" s="138" t="s">
        <v>8</v>
      </c>
      <c r="N12" s="750"/>
      <c r="O12" s="748"/>
      <c r="P12" s="138" t="s">
        <v>8</v>
      </c>
      <c r="Q12" s="750"/>
      <c r="R12" s="748"/>
      <c r="S12" s="134"/>
      <c r="T12" s="134"/>
      <c r="U12" s="27"/>
      <c r="V12" s="27"/>
    </row>
    <row r="13" spans="1:26" ht="15.75" thickBot="1" x14ac:dyDescent="0.3">
      <c r="A13" s="63">
        <v>1</v>
      </c>
      <c r="B13" s="734">
        <v>2</v>
      </c>
      <c r="C13" s="735"/>
      <c r="D13" s="479">
        <v>3</v>
      </c>
      <c r="E13" s="476">
        <v>4</v>
      </c>
      <c r="F13" s="478">
        <v>5</v>
      </c>
      <c r="G13" s="477">
        <v>6</v>
      </c>
      <c r="H13" s="478">
        <v>7</v>
      </c>
      <c r="I13" s="478">
        <v>8</v>
      </c>
      <c r="J13" s="478">
        <v>9</v>
      </c>
      <c r="K13" s="478">
        <v>10</v>
      </c>
      <c r="L13" s="478">
        <v>11</v>
      </c>
      <c r="M13" s="478">
        <v>12</v>
      </c>
      <c r="N13" s="478">
        <v>13</v>
      </c>
      <c r="O13" s="478">
        <v>14</v>
      </c>
      <c r="P13" s="478">
        <v>15</v>
      </c>
      <c r="Q13" s="478">
        <v>16</v>
      </c>
      <c r="R13" s="478">
        <v>17</v>
      </c>
      <c r="S13" s="479">
        <v>18</v>
      </c>
      <c r="T13" s="479">
        <v>19</v>
      </c>
      <c r="U13" s="27"/>
      <c r="V13" s="27"/>
    </row>
    <row r="14" spans="1:26" ht="15" customHeight="1" x14ac:dyDescent="0.25">
      <c r="A14" s="89" t="s">
        <v>31</v>
      </c>
      <c r="B14" s="148" t="s">
        <v>32</v>
      </c>
      <c r="C14" s="149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52"/>
      <c r="V14" s="152"/>
      <c r="W14" s="46"/>
    </row>
    <row r="15" spans="1:26" ht="35.25" customHeight="1" x14ac:dyDescent="0.25">
      <c r="A15" s="90"/>
      <c r="B15" s="726" t="s">
        <v>73</v>
      </c>
      <c r="C15" s="727"/>
      <c r="D15" s="92">
        <v>10693.7</v>
      </c>
      <c r="E15" s="92">
        <v>9592.6</v>
      </c>
      <c r="F15" s="92">
        <f>D15-E15</f>
        <v>1101.1000000000004</v>
      </c>
      <c r="G15" s="91"/>
      <c r="H15" s="91"/>
      <c r="I15" s="91"/>
      <c r="J15" s="91"/>
      <c r="K15" s="91"/>
      <c r="L15" s="91"/>
      <c r="M15" s="92"/>
      <c r="N15" s="92"/>
      <c r="O15" s="91">
        <f>M15-N15</f>
        <v>0</v>
      </c>
      <c r="P15" s="92">
        <v>736.4</v>
      </c>
      <c r="Q15" s="92">
        <v>736.4</v>
      </c>
      <c r="R15" s="91">
        <f>P15-Q15</f>
        <v>0</v>
      </c>
      <c r="S15" s="91">
        <f>F15+I15+L15+O15+R15</f>
        <v>1101.1000000000004</v>
      </c>
      <c r="T15" s="91"/>
      <c r="U15" s="491"/>
      <c r="V15" s="491"/>
      <c r="W15" s="492"/>
      <c r="X15" s="493"/>
      <c r="Y15" s="494"/>
      <c r="Z15" s="493"/>
    </row>
    <row r="16" spans="1:26" ht="36" customHeight="1" thickBot="1" x14ac:dyDescent="0.3">
      <c r="A16" s="53"/>
      <c r="B16" s="730" t="s">
        <v>74</v>
      </c>
      <c r="C16" s="731"/>
      <c r="D16" s="75">
        <v>6059.6</v>
      </c>
      <c r="E16" s="75">
        <v>6038.6</v>
      </c>
      <c r="F16" s="75">
        <f>D16-E16</f>
        <v>21</v>
      </c>
      <c r="G16" s="75"/>
      <c r="H16" s="75"/>
      <c r="I16" s="75">
        <f>G16-H16</f>
        <v>0</v>
      </c>
      <c r="J16" s="75"/>
      <c r="K16" s="75"/>
      <c r="L16" s="75"/>
      <c r="M16" s="75"/>
      <c r="N16" s="75"/>
      <c r="O16" s="75"/>
      <c r="P16" s="75"/>
      <c r="Q16" s="75"/>
      <c r="R16" s="75">
        <f t="shared" ref="R16:R69" si="0">P16-Q16</f>
        <v>0</v>
      </c>
      <c r="S16" s="75">
        <f t="shared" ref="S16:S40" si="1">F16+I16+L16+O16+R16</f>
        <v>21</v>
      </c>
      <c r="T16" s="75"/>
      <c r="U16" s="495"/>
      <c r="V16" s="495"/>
      <c r="W16" s="496"/>
      <c r="X16" s="497"/>
      <c r="Y16" s="186"/>
      <c r="Z16" s="497"/>
    </row>
    <row r="17" spans="1:26" ht="15" customHeight="1" thickBot="1" x14ac:dyDescent="0.3">
      <c r="A17" s="93"/>
      <c r="B17" s="94" t="s">
        <v>23</v>
      </c>
      <c r="C17" s="61"/>
      <c r="D17" s="71">
        <f>D15+D16</f>
        <v>16753.300000000003</v>
      </c>
      <c r="E17" s="71">
        <f>E15+E16</f>
        <v>15631.2</v>
      </c>
      <c r="F17" s="77">
        <f>D17-E17</f>
        <v>1122.1000000000022</v>
      </c>
      <c r="G17" s="73">
        <f t="shared" ref="G17:R17" si="2">G16+G14</f>
        <v>0</v>
      </c>
      <c r="H17" s="73">
        <f t="shared" si="2"/>
        <v>0</v>
      </c>
      <c r="I17" s="72">
        <f t="shared" si="2"/>
        <v>0</v>
      </c>
      <c r="J17" s="73">
        <f t="shared" si="2"/>
        <v>0</v>
      </c>
      <c r="K17" s="73">
        <f t="shared" si="2"/>
        <v>0</v>
      </c>
      <c r="L17" s="72">
        <f t="shared" si="2"/>
        <v>0</v>
      </c>
      <c r="M17" s="73">
        <f>M15</f>
        <v>0</v>
      </c>
      <c r="N17" s="73">
        <f>N15</f>
        <v>0</v>
      </c>
      <c r="O17" s="72">
        <f>O15</f>
        <v>0</v>
      </c>
      <c r="P17" s="73">
        <f>P15</f>
        <v>736.4</v>
      </c>
      <c r="Q17" s="73">
        <f>Q15</f>
        <v>736.4</v>
      </c>
      <c r="R17" s="72">
        <f t="shared" si="2"/>
        <v>0</v>
      </c>
      <c r="S17" s="104">
        <f>S16+S15</f>
        <v>1122.1000000000004</v>
      </c>
      <c r="T17" s="56">
        <f>S17/D17</f>
        <v>6.697784914016941E-2</v>
      </c>
      <c r="U17" s="579"/>
      <c r="V17" s="475"/>
      <c r="W17" s="498"/>
      <c r="X17" s="492"/>
      <c r="Y17" s="498"/>
      <c r="Z17" s="493"/>
    </row>
    <row r="18" spans="1:26" x14ac:dyDescent="0.25">
      <c r="A18" s="33" t="s">
        <v>33</v>
      </c>
      <c r="B18" s="150" t="s">
        <v>34</v>
      </c>
      <c r="C18" s="15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579"/>
      <c r="V18" s="495"/>
      <c r="W18" s="475"/>
      <c r="X18" s="497"/>
      <c r="Y18" s="492"/>
      <c r="Z18" s="493"/>
    </row>
    <row r="19" spans="1:26" ht="36.75" customHeight="1" x14ac:dyDescent="0.25">
      <c r="A19" s="33"/>
      <c r="B19" s="726" t="s">
        <v>73</v>
      </c>
      <c r="C19" s="727"/>
      <c r="D19" s="92">
        <v>19584.599999999999</v>
      </c>
      <c r="E19" s="92">
        <v>15779.4</v>
      </c>
      <c r="F19" s="92">
        <f t="shared" ref="F19:F40" si="3">D19-E19</f>
        <v>3805.1999999999989</v>
      </c>
      <c r="G19" s="92"/>
      <c r="H19" s="92"/>
      <c r="I19" s="92">
        <f t="shared" ref="I19:I69" si="4">G19-H19</f>
        <v>0</v>
      </c>
      <c r="J19" s="92"/>
      <c r="K19" s="92"/>
      <c r="L19" s="92">
        <f>J19-K19</f>
        <v>0</v>
      </c>
      <c r="M19" s="92"/>
      <c r="N19" s="92"/>
      <c r="O19" s="92">
        <f>M19-N19</f>
        <v>0</v>
      </c>
      <c r="P19" s="92">
        <v>13818.5</v>
      </c>
      <c r="Q19" s="92">
        <v>13818.5</v>
      </c>
      <c r="R19" s="92">
        <f t="shared" ref="R19" si="5">P19-Q19</f>
        <v>0</v>
      </c>
      <c r="S19" s="92">
        <f t="shared" ref="S19" si="6">F19+I19+L19+O19+R19</f>
        <v>3805.1999999999989</v>
      </c>
      <c r="T19" s="92"/>
      <c r="U19" s="579"/>
      <c r="V19" s="495"/>
      <c r="W19" s="492"/>
      <c r="X19" s="492"/>
      <c r="Y19" s="497"/>
      <c r="Z19" s="493"/>
    </row>
    <row r="20" spans="1:26" ht="36" customHeight="1" thickBot="1" x14ac:dyDescent="0.3">
      <c r="A20" s="33"/>
      <c r="B20" s="730" t="s">
        <v>74</v>
      </c>
      <c r="C20" s="731"/>
      <c r="D20" s="75">
        <v>64862.2</v>
      </c>
      <c r="E20" s="75">
        <v>63993.9</v>
      </c>
      <c r="F20" s="75">
        <f t="shared" si="3"/>
        <v>868.29999999999563</v>
      </c>
      <c r="G20" s="75"/>
      <c r="H20" s="75"/>
      <c r="I20" s="75">
        <f t="shared" si="4"/>
        <v>0</v>
      </c>
      <c r="J20" s="75"/>
      <c r="K20" s="75"/>
      <c r="L20" s="75"/>
      <c r="M20" s="75"/>
      <c r="N20" s="75"/>
      <c r="O20" s="75"/>
      <c r="P20" s="75"/>
      <c r="Q20" s="75"/>
      <c r="R20" s="75">
        <f t="shared" si="0"/>
        <v>0</v>
      </c>
      <c r="S20" s="75">
        <f t="shared" si="1"/>
        <v>868.29999999999563</v>
      </c>
      <c r="T20" s="75"/>
      <c r="U20" s="579"/>
      <c r="V20" s="495"/>
      <c r="W20" s="492"/>
      <c r="X20" s="492"/>
      <c r="Y20" s="492"/>
      <c r="Z20" s="493"/>
    </row>
    <row r="21" spans="1:26" ht="15.75" customHeight="1" thickBot="1" x14ac:dyDescent="0.3">
      <c r="A21" s="66"/>
      <c r="B21" s="94" t="s">
        <v>23</v>
      </c>
      <c r="C21" s="61"/>
      <c r="D21" s="88">
        <f>D19+D20</f>
        <v>84446.799999999988</v>
      </c>
      <c r="E21" s="76">
        <f>E19+E20</f>
        <v>79773.3</v>
      </c>
      <c r="F21" s="77">
        <f>D21-E21</f>
        <v>4673.4999999999854</v>
      </c>
      <c r="G21" s="76">
        <f>G19+G20</f>
        <v>0</v>
      </c>
      <c r="H21" s="76">
        <f>H19+H20</f>
        <v>0</v>
      </c>
      <c r="I21" s="77">
        <f t="shared" ref="I21:Q21" si="7">I19</f>
        <v>0</v>
      </c>
      <c r="J21" s="76">
        <f t="shared" si="7"/>
        <v>0</v>
      </c>
      <c r="K21" s="76">
        <f t="shared" si="7"/>
        <v>0</v>
      </c>
      <c r="L21" s="77">
        <f t="shared" si="7"/>
        <v>0</v>
      </c>
      <c r="M21" s="76">
        <f t="shared" si="7"/>
        <v>0</v>
      </c>
      <c r="N21" s="76">
        <f t="shared" si="7"/>
        <v>0</v>
      </c>
      <c r="O21" s="77">
        <f t="shared" si="7"/>
        <v>0</v>
      </c>
      <c r="P21" s="76">
        <f t="shared" si="7"/>
        <v>13818.5</v>
      </c>
      <c r="Q21" s="76">
        <f t="shared" si="7"/>
        <v>13818.5</v>
      </c>
      <c r="R21" s="77">
        <f t="shared" ref="R21" si="8">R18+R20</f>
        <v>0</v>
      </c>
      <c r="S21" s="104">
        <f>S19+S20</f>
        <v>4673.4999999999945</v>
      </c>
      <c r="T21" s="60">
        <f>S21/D21</f>
        <v>5.5342535181913288E-2</v>
      </c>
      <c r="U21" s="579"/>
      <c r="V21" s="475"/>
      <c r="W21" s="498"/>
      <c r="X21" s="497"/>
      <c r="Y21" s="498"/>
      <c r="Z21" s="499"/>
    </row>
    <row r="22" spans="1:26" ht="16.5" customHeight="1" x14ac:dyDescent="0.25">
      <c r="A22" s="33" t="s">
        <v>36</v>
      </c>
      <c r="B22" s="745" t="s">
        <v>35</v>
      </c>
      <c r="C22" s="74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579"/>
      <c r="V22" s="495"/>
      <c r="W22" s="475"/>
      <c r="X22" s="497"/>
      <c r="Y22" s="492"/>
      <c r="Z22" s="493"/>
    </row>
    <row r="23" spans="1:26" ht="35.25" customHeight="1" thickBot="1" x14ac:dyDescent="0.3">
      <c r="A23" s="33"/>
      <c r="B23" s="726" t="s">
        <v>73</v>
      </c>
      <c r="C23" s="727"/>
      <c r="D23" s="92">
        <v>5154.3999999999996</v>
      </c>
      <c r="E23" s="92">
        <v>4196</v>
      </c>
      <c r="F23" s="75">
        <f>D23-E23</f>
        <v>958.39999999999964</v>
      </c>
      <c r="G23" s="92"/>
      <c r="H23" s="92"/>
      <c r="I23" s="92">
        <f>G23-H23</f>
        <v>0</v>
      </c>
      <c r="J23" s="92"/>
      <c r="K23" s="92"/>
      <c r="L23" s="92">
        <f>J23-K23</f>
        <v>0</v>
      </c>
      <c r="M23" s="92"/>
      <c r="N23" s="92"/>
      <c r="O23" s="92"/>
      <c r="P23" s="92">
        <v>1130</v>
      </c>
      <c r="Q23" s="92">
        <v>1130</v>
      </c>
      <c r="R23" s="92">
        <f>P23-Q23</f>
        <v>0</v>
      </c>
      <c r="S23" s="75">
        <f t="shared" si="1"/>
        <v>958.39999999999964</v>
      </c>
      <c r="T23" s="92"/>
      <c r="U23" s="579"/>
      <c r="V23" s="495"/>
      <c r="W23" s="492"/>
      <c r="X23" s="492"/>
      <c r="Y23" s="492"/>
      <c r="Z23" s="493"/>
    </row>
    <row r="24" spans="1:26" ht="34.5" customHeight="1" thickBot="1" x14ac:dyDescent="0.3">
      <c r="A24" s="33"/>
      <c r="B24" s="730" t="s">
        <v>74</v>
      </c>
      <c r="C24" s="731"/>
      <c r="D24" s="75">
        <v>228386.9</v>
      </c>
      <c r="E24" s="75">
        <v>220393.4</v>
      </c>
      <c r="F24" s="75">
        <f t="shared" si="3"/>
        <v>7993.5</v>
      </c>
      <c r="G24" s="75"/>
      <c r="H24" s="75"/>
      <c r="I24" s="75">
        <f t="shared" si="4"/>
        <v>0</v>
      </c>
      <c r="J24" s="75"/>
      <c r="K24" s="75"/>
      <c r="L24" s="75"/>
      <c r="M24" s="75"/>
      <c r="N24" s="75"/>
      <c r="O24" s="75"/>
      <c r="P24" s="75"/>
      <c r="Q24" s="75"/>
      <c r="R24" s="75">
        <f t="shared" si="0"/>
        <v>0</v>
      </c>
      <c r="S24" s="75">
        <f t="shared" si="1"/>
        <v>7993.5</v>
      </c>
      <c r="T24" s="75"/>
      <c r="U24" s="579"/>
      <c r="V24" s="495"/>
      <c r="W24" s="492"/>
      <c r="X24" s="497"/>
      <c r="Y24" s="492"/>
      <c r="Z24" s="499"/>
    </row>
    <row r="25" spans="1:26" ht="15.75" thickBot="1" x14ac:dyDescent="0.3">
      <c r="A25" s="66"/>
      <c r="B25" s="64" t="s">
        <v>23</v>
      </c>
      <c r="C25" s="59"/>
      <c r="D25" s="76">
        <f>D23+D24</f>
        <v>233541.3</v>
      </c>
      <c r="E25" s="76">
        <f>E23+E24</f>
        <v>224589.4</v>
      </c>
      <c r="F25" s="77">
        <f>D25-E25</f>
        <v>8951.8999999999942</v>
      </c>
      <c r="G25" s="76">
        <f>SUM(G23:G24)</f>
        <v>0</v>
      </c>
      <c r="H25" s="76">
        <f>SUM(H23:H24)</f>
        <v>0</v>
      </c>
      <c r="I25" s="77">
        <f>I23+I24</f>
        <v>0</v>
      </c>
      <c r="J25" s="76">
        <f>J23+J24</f>
        <v>0</v>
      </c>
      <c r="K25" s="76">
        <f t="shared" ref="K25:L25" si="9">K23+K24</f>
        <v>0</v>
      </c>
      <c r="L25" s="77">
        <f t="shared" si="9"/>
        <v>0</v>
      </c>
      <c r="M25" s="76">
        <f t="shared" ref="M25:O25" si="10">M22+M24</f>
        <v>0</v>
      </c>
      <c r="N25" s="76">
        <f t="shared" si="10"/>
        <v>0</v>
      </c>
      <c r="O25" s="77">
        <f t="shared" si="10"/>
        <v>0</v>
      </c>
      <c r="P25" s="76">
        <f>P23</f>
        <v>1130</v>
      </c>
      <c r="Q25" s="76">
        <f>Q23</f>
        <v>1130</v>
      </c>
      <c r="R25" s="77">
        <f>R23</f>
        <v>0</v>
      </c>
      <c r="S25" s="104">
        <f>S23+S24</f>
        <v>8951.9</v>
      </c>
      <c r="T25" s="60">
        <f>S25/D25</f>
        <v>3.833112173307248E-2</v>
      </c>
      <c r="U25" s="579"/>
      <c r="V25" s="475"/>
      <c r="W25" s="498"/>
      <c r="X25" s="497"/>
      <c r="Y25" s="498"/>
      <c r="Z25" s="493"/>
    </row>
    <row r="26" spans="1:26" x14ac:dyDescent="0.25">
      <c r="A26" s="33" t="s">
        <v>42</v>
      </c>
      <c r="B26" s="745" t="s">
        <v>41</v>
      </c>
      <c r="C26" s="74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579"/>
      <c r="V26" s="495"/>
      <c r="W26" s="475"/>
      <c r="X26" s="492"/>
      <c r="Y26" s="492"/>
      <c r="Z26" s="493"/>
    </row>
    <row r="27" spans="1:26" ht="34.5" customHeight="1" x14ac:dyDescent="0.25">
      <c r="A27" s="33"/>
      <c r="B27" s="726" t="s">
        <v>73</v>
      </c>
      <c r="C27" s="727"/>
      <c r="D27" s="92">
        <v>12177.3</v>
      </c>
      <c r="E27" s="92">
        <v>10287.299999999999</v>
      </c>
      <c r="F27" s="92">
        <f t="shared" si="3"/>
        <v>1890</v>
      </c>
      <c r="G27" s="92"/>
      <c r="H27" s="92"/>
      <c r="I27" s="92">
        <f>G27-H27</f>
        <v>0</v>
      </c>
      <c r="J27" s="577">
        <v>1900</v>
      </c>
      <c r="K27" s="92"/>
      <c r="L27" s="92"/>
      <c r="M27" s="92"/>
      <c r="N27" s="92"/>
      <c r="O27" s="92"/>
      <c r="P27" s="92">
        <v>1500</v>
      </c>
      <c r="Q27" s="92">
        <v>1500</v>
      </c>
      <c r="R27" s="92">
        <f t="shared" si="0"/>
        <v>0</v>
      </c>
      <c r="S27" s="92">
        <f t="shared" si="1"/>
        <v>1890</v>
      </c>
      <c r="T27" s="92"/>
      <c r="U27" s="579"/>
      <c r="V27" s="495"/>
      <c r="W27" s="492"/>
      <c r="X27" s="492"/>
      <c r="Y27" s="492"/>
      <c r="Z27" s="493"/>
    </row>
    <row r="28" spans="1:26" ht="33.75" customHeight="1" thickBot="1" x14ac:dyDescent="0.3">
      <c r="A28" s="33"/>
      <c r="B28" s="730" t="s">
        <v>74</v>
      </c>
      <c r="C28" s="731"/>
      <c r="D28" s="92">
        <v>5141.2</v>
      </c>
      <c r="E28" s="92">
        <v>5141.2</v>
      </c>
      <c r="F28" s="92">
        <f t="shared" si="3"/>
        <v>0</v>
      </c>
      <c r="G28" s="92"/>
      <c r="H28" s="92"/>
      <c r="I28" s="75">
        <f>G28-H28</f>
        <v>0</v>
      </c>
      <c r="J28" s="578">
        <v>1900</v>
      </c>
      <c r="K28" s="75"/>
      <c r="L28" s="75"/>
      <c r="M28" s="92"/>
      <c r="N28" s="92"/>
      <c r="O28" s="92">
        <f>M28-N28</f>
        <v>0</v>
      </c>
      <c r="P28" s="75"/>
      <c r="Q28" s="75"/>
      <c r="R28" s="75">
        <f t="shared" si="0"/>
        <v>0</v>
      </c>
      <c r="S28" s="75">
        <f t="shared" si="1"/>
        <v>0</v>
      </c>
      <c r="T28" s="75"/>
      <c r="U28" s="579"/>
      <c r="V28" s="495"/>
      <c r="W28" s="492"/>
      <c r="X28" s="492"/>
      <c r="Y28" s="492"/>
      <c r="Z28" s="493"/>
    </row>
    <row r="29" spans="1:26" ht="15.75" thickBot="1" x14ac:dyDescent="0.3">
      <c r="A29" s="66"/>
      <c r="B29" s="95" t="s">
        <v>23</v>
      </c>
      <c r="C29" s="59"/>
      <c r="D29" s="76">
        <f>SUM(D26:D28)</f>
        <v>17318.5</v>
      </c>
      <c r="E29" s="76">
        <f t="shared" ref="E29:S29" si="11">SUM(E26:E28)</f>
        <v>15428.5</v>
      </c>
      <c r="F29" s="77">
        <f t="shared" si="3"/>
        <v>1890</v>
      </c>
      <c r="G29" s="76">
        <f>SUM(G26:G28)</f>
        <v>0</v>
      </c>
      <c r="H29" s="76">
        <f>SUM(H26:H28)</f>
        <v>0</v>
      </c>
      <c r="I29" s="77">
        <f t="shared" si="11"/>
        <v>0</v>
      </c>
      <c r="J29" s="76">
        <f t="shared" si="11"/>
        <v>3800</v>
      </c>
      <c r="K29" s="76">
        <f t="shared" si="11"/>
        <v>0</v>
      </c>
      <c r="L29" s="77">
        <f t="shared" si="11"/>
        <v>0</v>
      </c>
      <c r="M29" s="76">
        <f t="shared" si="11"/>
        <v>0</v>
      </c>
      <c r="N29" s="76">
        <f t="shared" si="11"/>
        <v>0</v>
      </c>
      <c r="O29" s="77">
        <f t="shared" si="11"/>
        <v>0</v>
      </c>
      <c r="P29" s="76">
        <f t="shared" si="11"/>
        <v>1500</v>
      </c>
      <c r="Q29" s="76">
        <f t="shared" si="11"/>
        <v>1500</v>
      </c>
      <c r="R29" s="111">
        <f t="shared" si="11"/>
        <v>0</v>
      </c>
      <c r="S29" s="104">
        <f t="shared" si="11"/>
        <v>1890</v>
      </c>
      <c r="T29" s="96">
        <f>S29/(D29+G29+J29)</f>
        <v>8.9494992542083956E-2</v>
      </c>
      <c r="U29" s="579">
        <f>S29/(D29+J29)</f>
        <v>8.9494992542083956E-2</v>
      </c>
      <c r="V29" s="475"/>
      <c r="W29" s="498"/>
      <c r="X29" s="497"/>
      <c r="Y29" s="498"/>
      <c r="Z29" s="499"/>
    </row>
    <row r="30" spans="1:26" x14ac:dyDescent="0.25">
      <c r="A30" s="33" t="s">
        <v>45</v>
      </c>
      <c r="B30" s="745" t="s">
        <v>43</v>
      </c>
      <c r="C30" s="74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109"/>
      <c r="S30" s="78"/>
      <c r="T30" s="110"/>
      <c r="U30" s="579"/>
      <c r="V30" s="495"/>
      <c r="W30" s="475"/>
      <c r="X30" s="497"/>
      <c r="Y30" s="492"/>
      <c r="Z30" s="493"/>
    </row>
    <row r="31" spans="1:26" ht="33" customHeight="1" x14ac:dyDescent="0.25">
      <c r="A31" s="33"/>
      <c r="B31" s="726" t="s">
        <v>73</v>
      </c>
      <c r="C31" s="727"/>
      <c r="D31" s="92">
        <v>8168.4</v>
      </c>
      <c r="E31" s="92">
        <v>6525.2</v>
      </c>
      <c r="F31" s="92">
        <f t="shared" ref="F31" si="12">D31-E31</f>
        <v>1643.1999999999998</v>
      </c>
      <c r="G31" s="92">
        <v>250</v>
      </c>
      <c r="H31" s="92">
        <v>210</v>
      </c>
      <c r="I31" s="92">
        <f t="shared" si="4"/>
        <v>40</v>
      </c>
      <c r="J31" s="92"/>
      <c r="K31" s="92"/>
      <c r="L31" s="92">
        <f>J31-K31</f>
        <v>0</v>
      </c>
      <c r="M31" s="92">
        <v>82085.5</v>
      </c>
      <c r="N31" s="92">
        <v>82085.5</v>
      </c>
      <c r="O31" s="92">
        <f>M31-N31</f>
        <v>0</v>
      </c>
      <c r="P31" s="92">
        <v>1039.7</v>
      </c>
      <c r="Q31" s="92">
        <v>1039.7</v>
      </c>
      <c r="R31" s="112">
        <f t="shared" ref="R31" si="13">P31-Q31</f>
        <v>0</v>
      </c>
      <c r="S31" s="92">
        <f>F31+I31+L31+O31+R31</f>
        <v>1683.1999999999998</v>
      </c>
      <c r="T31" s="114"/>
      <c r="U31" s="579"/>
      <c r="V31" s="491"/>
      <c r="W31" s="492"/>
      <c r="X31" s="492"/>
      <c r="Y31" s="494"/>
      <c r="Z31" s="493"/>
    </row>
    <row r="32" spans="1:26" ht="39" customHeight="1" thickBot="1" x14ac:dyDescent="0.3">
      <c r="A32" s="33"/>
      <c r="B32" s="730" t="s">
        <v>74</v>
      </c>
      <c r="C32" s="731"/>
      <c r="D32" s="75">
        <v>1125</v>
      </c>
      <c r="E32" s="75">
        <v>1125</v>
      </c>
      <c r="F32" s="75">
        <f t="shared" si="3"/>
        <v>0</v>
      </c>
      <c r="G32" s="75"/>
      <c r="H32" s="75"/>
      <c r="I32" s="75">
        <f t="shared" si="4"/>
        <v>0</v>
      </c>
      <c r="J32" s="75"/>
      <c r="K32" s="75"/>
      <c r="L32" s="75"/>
      <c r="M32" s="75"/>
      <c r="N32" s="75"/>
      <c r="O32" s="75"/>
      <c r="P32" s="75"/>
      <c r="Q32" s="75"/>
      <c r="R32" s="113">
        <f t="shared" si="0"/>
        <v>0</v>
      </c>
      <c r="S32" s="75">
        <f>F32+I32+L32+O32+R32</f>
        <v>0</v>
      </c>
      <c r="T32" s="115"/>
      <c r="U32" s="579"/>
      <c r="V32" s="491"/>
      <c r="W32" s="497"/>
      <c r="X32" s="497"/>
      <c r="Y32" s="492"/>
      <c r="Z32" s="499"/>
    </row>
    <row r="33" spans="1:26" ht="15.75" thickBot="1" x14ac:dyDescent="0.3">
      <c r="A33" s="93"/>
      <c r="B33" s="94" t="s">
        <v>23</v>
      </c>
      <c r="C33" s="61"/>
      <c r="D33" s="88">
        <f>SUM(D30:D32)</f>
        <v>9293.4</v>
      </c>
      <c r="E33" s="88">
        <f t="shared" ref="E33:F33" si="14">SUM(E30:E32)</f>
        <v>7650.2</v>
      </c>
      <c r="F33" s="77">
        <f t="shared" si="14"/>
        <v>1643.1999999999998</v>
      </c>
      <c r="G33" s="76">
        <f t="shared" ref="G33:R33" si="15">G31+G32</f>
        <v>250</v>
      </c>
      <c r="H33" s="76">
        <f t="shared" si="15"/>
        <v>210</v>
      </c>
      <c r="I33" s="77">
        <f t="shared" si="15"/>
        <v>40</v>
      </c>
      <c r="J33" s="76">
        <f t="shared" si="15"/>
        <v>0</v>
      </c>
      <c r="K33" s="76">
        <f t="shared" si="15"/>
        <v>0</v>
      </c>
      <c r="L33" s="77">
        <f t="shared" si="15"/>
        <v>0</v>
      </c>
      <c r="M33" s="76">
        <f t="shared" si="15"/>
        <v>82085.5</v>
      </c>
      <c r="N33" s="76">
        <f t="shared" si="15"/>
        <v>82085.5</v>
      </c>
      <c r="O33" s="77">
        <f t="shared" si="15"/>
        <v>0</v>
      </c>
      <c r="P33" s="76">
        <f t="shared" si="15"/>
        <v>1039.7</v>
      </c>
      <c r="Q33" s="76">
        <f t="shared" si="15"/>
        <v>1039.7</v>
      </c>
      <c r="R33" s="76">
        <f t="shared" si="15"/>
        <v>0</v>
      </c>
      <c r="S33" s="104">
        <f>F33+I33+L33+O33+R33</f>
        <v>1683.1999999999998</v>
      </c>
      <c r="T33" s="60">
        <f>S33/(D33+G33+M33)</f>
        <v>1.8369750155245779E-2</v>
      </c>
      <c r="U33" s="579"/>
      <c r="V33" s="475"/>
      <c r="W33" s="498"/>
      <c r="X33" s="242"/>
      <c r="Y33" s="498"/>
      <c r="Z33" s="500"/>
    </row>
    <row r="34" spans="1:26" x14ac:dyDescent="0.25">
      <c r="A34" s="33" t="s">
        <v>46</v>
      </c>
      <c r="B34" s="745" t="s">
        <v>44</v>
      </c>
      <c r="C34" s="746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579"/>
      <c r="V34" s="495"/>
      <c r="W34" s="475"/>
      <c r="X34" s="242"/>
      <c r="Y34" s="492"/>
      <c r="Z34" s="493"/>
    </row>
    <row r="35" spans="1:26" ht="33.75" customHeight="1" x14ac:dyDescent="0.25">
      <c r="A35" s="33"/>
      <c r="B35" s="726" t="s">
        <v>73</v>
      </c>
      <c r="C35" s="727"/>
      <c r="D35" s="92"/>
      <c r="E35" s="92"/>
      <c r="F35" s="92">
        <f t="shared" ref="F35" si="16">D35-E35</f>
        <v>0</v>
      </c>
      <c r="G35" s="92"/>
      <c r="H35" s="92"/>
      <c r="I35" s="92">
        <f t="shared" ref="I35" si="17">G35-H35</f>
        <v>0</v>
      </c>
      <c r="J35" s="436"/>
      <c r="K35" s="92"/>
      <c r="L35" s="92"/>
      <c r="M35" s="92"/>
      <c r="N35" s="92"/>
      <c r="O35" s="92">
        <f>M35-N35</f>
        <v>0</v>
      </c>
      <c r="P35" s="92">
        <v>1909.8</v>
      </c>
      <c r="Q35" s="92">
        <v>1909.8</v>
      </c>
      <c r="R35" s="92">
        <f t="shared" ref="R35" si="18">P35-Q35</f>
        <v>0</v>
      </c>
      <c r="S35" s="92">
        <f t="shared" ref="S35" si="19">F35+I35+L35+O35+R35</f>
        <v>0</v>
      </c>
      <c r="T35" s="92"/>
      <c r="U35" s="579"/>
      <c r="V35" s="495"/>
      <c r="W35" s="492"/>
      <c r="X35" s="492"/>
      <c r="Y35" s="494"/>
      <c r="Z35" s="493"/>
    </row>
    <row r="36" spans="1:26" ht="36.75" customHeight="1" thickBot="1" x14ac:dyDescent="0.3">
      <c r="A36" s="33"/>
      <c r="B36" s="724" t="s">
        <v>74</v>
      </c>
      <c r="C36" s="725"/>
      <c r="D36" s="75">
        <v>12395.4</v>
      </c>
      <c r="E36" s="75">
        <v>12357.1</v>
      </c>
      <c r="F36" s="75">
        <f t="shared" si="3"/>
        <v>38.299999999999272</v>
      </c>
      <c r="G36" s="75"/>
      <c r="H36" s="75"/>
      <c r="I36" s="75"/>
      <c r="J36" s="75"/>
      <c r="K36" s="75"/>
      <c r="L36" s="75"/>
      <c r="M36" s="75">
        <v>7081.2</v>
      </c>
      <c r="N36" s="75">
        <v>7081.2</v>
      </c>
      <c r="O36" s="75"/>
      <c r="P36" s="75"/>
      <c r="Q36" s="75"/>
      <c r="R36" s="75">
        <f t="shared" si="0"/>
        <v>0</v>
      </c>
      <c r="S36" s="75">
        <f t="shared" si="1"/>
        <v>38.299999999999272</v>
      </c>
      <c r="T36" s="75"/>
      <c r="U36" s="579"/>
      <c r="V36" s="491"/>
      <c r="W36" s="492"/>
      <c r="X36" s="492"/>
      <c r="Y36" s="492"/>
      <c r="Z36" s="493"/>
    </row>
    <row r="37" spans="1:26" ht="13.5" customHeight="1" thickBot="1" x14ac:dyDescent="0.3">
      <c r="A37" s="66"/>
      <c r="B37" s="64" t="s">
        <v>23</v>
      </c>
      <c r="C37" s="94"/>
      <c r="D37" s="76">
        <f>SUM(D34:D36)</f>
        <v>12395.4</v>
      </c>
      <c r="E37" s="76">
        <f t="shared" ref="E37:R37" si="20">SUM(E34:E36)</f>
        <v>12357.1</v>
      </c>
      <c r="F37" s="77">
        <f>D37-E37</f>
        <v>38.299999999999272</v>
      </c>
      <c r="G37" s="76">
        <f t="shared" si="20"/>
        <v>0</v>
      </c>
      <c r="H37" s="76">
        <f t="shared" si="20"/>
        <v>0</v>
      </c>
      <c r="I37" s="77">
        <f t="shared" si="20"/>
        <v>0</v>
      </c>
      <c r="J37" s="288">
        <f t="shared" si="20"/>
        <v>0</v>
      </c>
      <c r="K37" s="76">
        <f t="shared" si="20"/>
        <v>0</v>
      </c>
      <c r="L37" s="77">
        <f t="shared" si="20"/>
        <v>0</v>
      </c>
      <c r="M37" s="76">
        <f t="shared" si="20"/>
        <v>7081.2</v>
      </c>
      <c r="N37" s="76">
        <f t="shared" si="20"/>
        <v>7081.2</v>
      </c>
      <c r="O37" s="77">
        <f t="shared" si="20"/>
        <v>0</v>
      </c>
      <c r="P37" s="76">
        <f t="shared" si="20"/>
        <v>1909.8</v>
      </c>
      <c r="Q37" s="76">
        <f t="shared" si="20"/>
        <v>1909.8</v>
      </c>
      <c r="R37" s="77">
        <f t="shared" si="20"/>
        <v>0</v>
      </c>
      <c r="S37" s="104">
        <f>SUM(S34:S36)</f>
        <v>38.299999999999272</v>
      </c>
      <c r="T37" s="60">
        <f>S37/(D37+M37)</f>
        <v>1.9664623188851891E-3</v>
      </c>
      <c r="U37" s="579"/>
      <c r="V37" s="475"/>
      <c r="W37" s="498"/>
      <c r="X37" s="497"/>
      <c r="Y37" s="498"/>
      <c r="Z37" s="499"/>
    </row>
    <row r="38" spans="1:26" x14ac:dyDescent="0.25">
      <c r="A38" s="33" t="s">
        <v>49</v>
      </c>
      <c r="B38" s="745" t="s">
        <v>47</v>
      </c>
      <c r="C38" s="746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579"/>
      <c r="V38" s="495"/>
      <c r="W38" s="492"/>
      <c r="X38" s="497"/>
      <c r="Y38" s="492"/>
      <c r="Z38" s="493"/>
    </row>
    <row r="39" spans="1:26" ht="33.75" customHeight="1" x14ac:dyDescent="0.25">
      <c r="A39" s="33"/>
      <c r="B39" s="726" t="s">
        <v>73</v>
      </c>
      <c r="C39" s="727"/>
      <c r="D39" s="92">
        <v>3335.5</v>
      </c>
      <c r="E39" s="92">
        <v>2664.4</v>
      </c>
      <c r="F39" s="92">
        <f t="shared" si="3"/>
        <v>671.09999999999991</v>
      </c>
      <c r="G39" s="92"/>
      <c r="H39" s="92"/>
      <c r="I39" s="92">
        <f>G39-H39</f>
        <v>0</v>
      </c>
      <c r="J39" s="91"/>
      <c r="K39" s="91"/>
      <c r="L39" s="91"/>
      <c r="M39" s="91"/>
      <c r="N39" s="91"/>
      <c r="O39" s="91"/>
      <c r="P39" s="92">
        <v>2245.4</v>
      </c>
      <c r="Q39" s="92">
        <v>2245.4</v>
      </c>
      <c r="R39" s="91">
        <f t="shared" ref="R39" si="21">P39-Q39</f>
        <v>0</v>
      </c>
      <c r="S39" s="91">
        <f t="shared" ref="S39" si="22">F39+I39+L39+O39+R39</f>
        <v>671.09999999999991</v>
      </c>
      <c r="T39" s="91"/>
      <c r="U39" s="579"/>
      <c r="V39" s="491"/>
      <c r="W39" s="492"/>
      <c r="X39" s="492"/>
      <c r="Y39" s="492"/>
      <c r="Z39" s="493"/>
    </row>
    <row r="40" spans="1:26" ht="34.5" customHeight="1" thickBot="1" x14ac:dyDescent="0.3">
      <c r="A40" s="33"/>
      <c r="B40" s="724" t="s">
        <v>74</v>
      </c>
      <c r="C40" s="725"/>
      <c r="D40" s="75">
        <v>10009</v>
      </c>
      <c r="E40" s="75">
        <v>9300.4</v>
      </c>
      <c r="F40" s="75">
        <f t="shared" si="3"/>
        <v>708.60000000000036</v>
      </c>
      <c r="G40" s="75"/>
      <c r="H40" s="75"/>
      <c r="I40" s="92">
        <f>G40-H40</f>
        <v>0</v>
      </c>
      <c r="J40" s="75"/>
      <c r="K40" s="75"/>
      <c r="L40" s="75"/>
      <c r="M40" s="75"/>
      <c r="N40" s="75"/>
      <c r="O40" s="75"/>
      <c r="P40" s="75"/>
      <c r="Q40" s="75"/>
      <c r="R40" s="75">
        <f t="shared" si="0"/>
        <v>0</v>
      </c>
      <c r="S40" s="75">
        <f t="shared" si="1"/>
        <v>708.60000000000036</v>
      </c>
      <c r="T40" s="75"/>
      <c r="U40" s="579"/>
      <c r="V40" s="491"/>
      <c r="W40" s="492"/>
      <c r="X40" s="497"/>
      <c r="Y40" s="492"/>
      <c r="Z40" s="499"/>
    </row>
    <row r="41" spans="1:26" ht="15.75" thickBot="1" x14ac:dyDescent="0.3">
      <c r="A41" s="66"/>
      <c r="B41" s="94" t="s">
        <v>23</v>
      </c>
      <c r="C41" s="64"/>
      <c r="D41" s="76">
        <f>SUM(D38:D40)</f>
        <v>13344.5</v>
      </c>
      <c r="E41" s="76">
        <f t="shared" ref="E41:S41" si="23">SUM(E38:E40)</f>
        <v>11964.8</v>
      </c>
      <c r="F41" s="77">
        <f>D41-E41</f>
        <v>1379.7000000000007</v>
      </c>
      <c r="G41" s="76">
        <f t="shared" si="23"/>
        <v>0</v>
      </c>
      <c r="H41" s="76">
        <f t="shared" si="23"/>
        <v>0</v>
      </c>
      <c r="I41" s="77">
        <f t="shared" si="23"/>
        <v>0</v>
      </c>
      <c r="J41" s="76">
        <f t="shared" si="23"/>
        <v>0</v>
      </c>
      <c r="K41" s="76">
        <f t="shared" si="23"/>
        <v>0</v>
      </c>
      <c r="L41" s="77">
        <f t="shared" si="23"/>
        <v>0</v>
      </c>
      <c r="M41" s="76">
        <f t="shared" si="23"/>
        <v>0</v>
      </c>
      <c r="N41" s="76">
        <f t="shared" si="23"/>
        <v>0</v>
      </c>
      <c r="O41" s="77">
        <f t="shared" si="23"/>
        <v>0</v>
      </c>
      <c r="P41" s="76">
        <f t="shared" si="23"/>
        <v>2245.4</v>
      </c>
      <c r="Q41" s="76">
        <f t="shared" si="23"/>
        <v>2245.4</v>
      </c>
      <c r="R41" s="77">
        <f t="shared" si="23"/>
        <v>0</v>
      </c>
      <c r="S41" s="104">
        <f t="shared" si="23"/>
        <v>1379.7000000000003</v>
      </c>
      <c r="T41" s="96">
        <f>S41/D41</f>
        <v>0.10339091011278057</v>
      </c>
      <c r="U41" s="579"/>
      <c r="V41" s="475"/>
      <c r="W41" s="498"/>
      <c r="X41" s="497"/>
      <c r="Y41" s="498"/>
      <c r="Z41" s="493"/>
    </row>
    <row r="42" spans="1:26" ht="15.75" customHeight="1" x14ac:dyDescent="0.25">
      <c r="A42" s="33" t="s">
        <v>50</v>
      </c>
      <c r="B42" s="745" t="s">
        <v>48</v>
      </c>
      <c r="C42" s="74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579"/>
      <c r="V42" s="495"/>
      <c r="W42" s="475"/>
      <c r="X42" s="492"/>
      <c r="Y42" s="492"/>
      <c r="Z42" s="493"/>
    </row>
    <row r="43" spans="1:26" ht="34.5" customHeight="1" x14ac:dyDescent="0.25">
      <c r="A43" s="33"/>
      <c r="B43" s="726" t="s">
        <v>73</v>
      </c>
      <c r="C43" s="727"/>
      <c r="D43" s="92">
        <v>12252.7</v>
      </c>
      <c r="E43" s="92">
        <v>11170.6</v>
      </c>
      <c r="F43" s="92">
        <f t="shared" ref="F43:F44" si="24">D43-E43</f>
        <v>1082.1000000000004</v>
      </c>
      <c r="G43" s="92"/>
      <c r="H43" s="92"/>
      <c r="I43" s="92">
        <f t="shared" ref="I43:I44" si="25">G43-H43</f>
        <v>0</v>
      </c>
      <c r="J43" s="92"/>
      <c r="K43" s="92"/>
      <c r="L43" s="92">
        <f>J43-K43</f>
        <v>0</v>
      </c>
      <c r="M43" s="92"/>
      <c r="N43" s="92"/>
      <c r="O43" s="92"/>
      <c r="P43" s="92">
        <v>3332</v>
      </c>
      <c r="Q43" s="92">
        <v>3332</v>
      </c>
      <c r="R43" s="92">
        <f t="shared" ref="R43:R44" si="26">P43-Q43</f>
        <v>0</v>
      </c>
      <c r="S43" s="92">
        <f t="shared" ref="S43:S44" si="27">F43+I43+L43+O43+R43</f>
        <v>1082.1000000000004</v>
      </c>
      <c r="T43" s="92"/>
      <c r="U43" s="579"/>
      <c r="V43" s="491"/>
      <c r="W43" s="492"/>
      <c r="X43" s="492"/>
      <c r="Y43" s="492"/>
      <c r="Z43" s="493"/>
    </row>
    <row r="44" spans="1:26" ht="33.75" customHeight="1" thickBot="1" x14ac:dyDescent="0.3">
      <c r="A44" s="33"/>
      <c r="B44" s="724" t="s">
        <v>74</v>
      </c>
      <c r="C44" s="725"/>
      <c r="D44" s="75">
        <v>31901</v>
      </c>
      <c r="E44" s="75">
        <v>31873.8</v>
      </c>
      <c r="F44" s="75">
        <f t="shared" si="24"/>
        <v>27.200000000000728</v>
      </c>
      <c r="G44" s="75"/>
      <c r="H44" s="75"/>
      <c r="I44" s="75">
        <f t="shared" si="25"/>
        <v>0</v>
      </c>
      <c r="J44" s="75">
        <v>4416.8999999999996</v>
      </c>
      <c r="K44" s="75">
        <v>4416.8999999999996</v>
      </c>
      <c r="L44" s="75"/>
      <c r="M44" s="75"/>
      <c r="N44" s="75"/>
      <c r="O44" s="75"/>
      <c r="P44" s="75"/>
      <c r="Q44" s="75"/>
      <c r="R44" s="75">
        <f t="shared" si="26"/>
        <v>0</v>
      </c>
      <c r="S44" s="75">
        <f t="shared" si="27"/>
        <v>27.200000000000728</v>
      </c>
      <c r="T44" s="75"/>
      <c r="U44" s="579"/>
      <c r="V44" s="491"/>
      <c r="W44" s="492"/>
      <c r="X44" s="492"/>
      <c r="Y44" s="492"/>
      <c r="Z44" s="493"/>
    </row>
    <row r="45" spans="1:26" ht="15.75" thickBot="1" x14ac:dyDescent="0.3">
      <c r="A45" s="66"/>
      <c r="B45" s="94" t="s">
        <v>23</v>
      </c>
      <c r="C45" s="64"/>
      <c r="D45" s="76">
        <f>SUM(D42:D44)</f>
        <v>44153.7</v>
      </c>
      <c r="E45" s="76">
        <f t="shared" ref="E45:S45" si="28">SUM(E42:E44)</f>
        <v>43044.4</v>
      </c>
      <c r="F45" s="77">
        <f>D45-E45</f>
        <v>1109.2999999999956</v>
      </c>
      <c r="G45" s="76">
        <f t="shared" si="28"/>
        <v>0</v>
      </c>
      <c r="H45" s="76">
        <f t="shared" si="28"/>
        <v>0</v>
      </c>
      <c r="I45" s="77">
        <f t="shared" si="28"/>
        <v>0</v>
      </c>
      <c r="J45" s="76">
        <f t="shared" si="28"/>
        <v>4416.8999999999996</v>
      </c>
      <c r="K45" s="76">
        <f t="shared" si="28"/>
        <v>4416.8999999999996</v>
      </c>
      <c r="L45" s="77">
        <f t="shared" si="28"/>
        <v>0</v>
      </c>
      <c r="M45" s="76">
        <f t="shared" si="28"/>
        <v>0</v>
      </c>
      <c r="N45" s="76">
        <f t="shared" si="28"/>
        <v>0</v>
      </c>
      <c r="O45" s="77">
        <f t="shared" si="28"/>
        <v>0</v>
      </c>
      <c r="P45" s="76">
        <f t="shared" si="28"/>
        <v>3332</v>
      </c>
      <c r="Q45" s="76">
        <f t="shared" si="28"/>
        <v>3332</v>
      </c>
      <c r="R45" s="77">
        <f t="shared" si="28"/>
        <v>0</v>
      </c>
      <c r="S45" s="104">
        <f t="shared" si="28"/>
        <v>1109.3000000000011</v>
      </c>
      <c r="T45" s="96">
        <f>S45/(D45+G45+J45)</f>
        <v>2.283891901685384E-2</v>
      </c>
      <c r="U45" s="579"/>
      <c r="V45" s="475"/>
      <c r="W45" s="498"/>
      <c r="X45" s="497"/>
      <c r="Y45" s="498"/>
      <c r="Z45" s="499"/>
    </row>
    <row r="46" spans="1:26" x14ac:dyDescent="0.25">
      <c r="A46" s="33" t="s">
        <v>51</v>
      </c>
      <c r="B46" s="745" t="s">
        <v>52</v>
      </c>
      <c r="C46" s="74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579"/>
      <c r="V46" s="495"/>
      <c r="W46" s="475"/>
      <c r="X46" s="497"/>
      <c r="Y46" s="492"/>
      <c r="Z46" s="493"/>
    </row>
    <row r="47" spans="1:26" ht="36.75" customHeight="1" x14ac:dyDescent="0.25">
      <c r="A47" s="33"/>
      <c r="B47" s="726" t="s">
        <v>73</v>
      </c>
      <c r="C47" s="727"/>
      <c r="D47" s="92">
        <v>1269.8</v>
      </c>
      <c r="E47" s="92">
        <v>1257.0999999999999</v>
      </c>
      <c r="F47" s="92">
        <f t="shared" ref="F47:F48" si="29">D47-E47</f>
        <v>12.700000000000045</v>
      </c>
      <c r="G47" s="92"/>
      <c r="H47" s="92"/>
      <c r="I47" s="92">
        <f t="shared" ref="I47:I48" si="30">G47-H47</f>
        <v>0</v>
      </c>
      <c r="J47" s="92">
        <v>11569.7</v>
      </c>
      <c r="K47" s="92">
        <v>11222.6</v>
      </c>
      <c r="L47" s="92">
        <f>J47-K47</f>
        <v>347.10000000000036</v>
      </c>
      <c r="M47" s="92"/>
      <c r="N47" s="92"/>
      <c r="O47" s="92">
        <f>M47-N47</f>
        <v>0</v>
      </c>
      <c r="P47" s="92">
        <v>527.79999999999995</v>
      </c>
      <c r="Q47" s="92">
        <v>527.79999999999995</v>
      </c>
      <c r="R47" s="92">
        <f t="shared" ref="R47:R48" si="31">P47-Q47</f>
        <v>0</v>
      </c>
      <c r="S47" s="92">
        <f t="shared" ref="S47:S48" si="32">F47+I47+L47+O47+R47</f>
        <v>359.80000000000041</v>
      </c>
      <c r="T47" s="92"/>
      <c r="U47" s="579"/>
      <c r="V47" s="501"/>
      <c r="W47" s="492"/>
      <c r="X47" s="492"/>
      <c r="Y47" s="492"/>
      <c r="Z47" s="493"/>
    </row>
    <row r="48" spans="1:26" ht="35.25" customHeight="1" thickBot="1" x14ac:dyDescent="0.3">
      <c r="A48" s="33"/>
      <c r="B48" s="724" t="s">
        <v>74</v>
      </c>
      <c r="C48" s="725"/>
      <c r="D48" s="75">
        <v>6382.4</v>
      </c>
      <c r="E48" s="75">
        <v>6370.5</v>
      </c>
      <c r="F48" s="92">
        <f t="shared" si="29"/>
        <v>11.899999999999636</v>
      </c>
      <c r="G48" s="75"/>
      <c r="H48" s="75"/>
      <c r="I48" s="92">
        <f t="shared" si="30"/>
        <v>0</v>
      </c>
      <c r="J48" s="75"/>
      <c r="K48" s="75"/>
      <c r="L48" s="75"/>
      <c r="M48" s="75"/>
      <c r="N48" s="75"/>
      <c r="O48" s="75"/>
      <c r="P48" s="75"/>
      <c r="Q48" s="75"/>
      <c r="R48" s="75">
        <f t="shared" si="31"/>
        <v>0</v>
      </c>
      <c r="S48" s="75">
        <f t="shared" si="32"/>
        <v>11.899999999999636</v>
      </c>
      <c r="T48" s="75"/>
      <c r="U48" s="579"/>
      <c r="V48" s="501"/>
      <c r="W48" s="492"/>
      <c r="X48" s="497"/>
      <c r="Y48" s="492"/>
      <c r="Z48" s="497"/>
    </row>
    <row r="49" spans="1:26" ht="15.75" thickBot="1" x14ac:dyDescent="0.3">
      <c r="A49" s="66"/>
      <c r="B49" s="94" t="s">
        <v>23</v>
      </c>
      <c r="C49" s="64"/>
      <c r="D49" s="76">
        <f>SUM(D46:D48)</f>
        <v>7652.2</v>
      </c>
      <c r="E49" s="76">
        <f t="shared" ref="E49:S49" si="33">SUM(E46:E48)</f>
        <v>7627.6</v>
      </c>
      <c r="F49" s="77">
        <f t="shared" si="33"/>
        <v>24.599999999999682</v>
      </c>
      <c r="G49" s="76">
        <f t="shared" si="33"/>
        <v>0</v>
      </c>
      <c r="H49" s="76">
        <f t="shared" si="33"/>
        <v>0</v>
      </c>
      <c r="I49" s="77">
        <f t="shared" si="33"/>
        <v>0</v>
      </c>
      <c r="J49" s="76">
        <f t="shared" si="33"/>
        <v>11569.7</v>
      </c>
      <c r="K49" s="76">
        <f t="shared" si="33"/>
        <v>11222.6</v>
      </c>
      <c r="L49" s="77">
        <f t="shared" si="33"/>
        <v>347.10000000000036</v>
      </c>
      <c r="M49" s="76">
        <f t="shared" si="33"/>
        <v>0</v>
      </c>
      <c r="N49" s="76">
        <f t="shared" si="33"/>
        <v>0</v>
      </c>
      <c r="O49" s="77">
        <f t="shared" si="33"/>
        <v>0</v>
      </c>
      <c r="P49" s="76">
        <f t="shared" si="33"/>
        <v>527.79999999999995</v>
      </c>
      <c r="Q49" s="76">
        <f t="shared" si="33"/>
        <v>527.79999999999995</v>
      </c>
      <c r="R49" s="77">
        <f t="shared" si="33"/>
        <v>0</v>
      </c>
      <c r="S49" s="104">
        <f t="shared" si="33"/>
        <v>371.70000000000005</v>
      </c>
      <c r="T49" s="96">
        <f>S49/(D49+G49+J49+M49+P49)</f>
        <v>1.8820539046162727E-2</v>
      </c>
      <c r="U49" s="579"/>
      <c r="V49" s="475"/>
      <c r="W49" s="498"/>
      <c r="X49" s="497"/>
      <c r="Y49" s="498"/>
      <c r="Z49" s="493"/>
    </row>
    <row r="50" spans="1:26" x14ac:dyDescent="0.25">
      <c r="A50" s="33" t="s">
        <v>53</v>
      </c>
      <c r="B50" s="745" t="s">
        <v>54</v>
      </c>
      <c r="C50" s="74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579"/>
      <c r="V50" s="495"/>
      <c r="W50" s="475"/>
      <c r="X50" s="492"/>
      <c r="Y50" s="492"/>
      <c r="Z50" s="493"/>
    </row>
    <row r="51" spans="1:26" ht="33.75" customHeight="1" x14ac:dyDescent="0.25">
      <c r="A51" s="33"/>
      <c r="B51" s="726" t="s">
        <v>73</v>
      </c>
      <c r="C51" s="727"/>
      <c r="D51" s="571">
        <v>6969</v>
      </c>
      <c r="E51" s="92">
        <v>4570.8</v>
      </c>
      <c r="F51" s="92">
        <f>D51-E51</f>
        <v>2398.1999999999998</v>
      </c>
      <c r="G51" s="92"/>
      <c r="H51" s="92"/>
      <c r="I51" s="92"/>
      <c r="J51" s="92"/>
      <c r="K51" s="92"/>
      <c r="L51" s="92"/>
      <c r="M51" s="92"/>
      <c r="N51" s="92"/>
      <c r="O51" s="92">
        <f>M51-N51</f>
        <v>0</v>
      </c>
      <c r="P51" s="92">
        <v>1200</v>
      </c>
      <c r="Q51" s="92">
        <v>1200</v>
      </c>
      <c r="R51" s="92">
        <f t="shared" ref="R51:R52" si="34">P51-Q51</f>
        <v>0</v>
      </c>
      <c r="S51" s="92">
        <f t="shared" ref="S51:S52" si="35">F51+I51+L51+O51+R51</f>
        <v>2398.1999999999998</v>
      </c>
      <c r="T51" s="92"/>
      <c r="U51" s="579"/>
      <c r="V51" s="491"/>
      <c r="W51" s="492"/>
      <c r="X51" s="492"/>
      <c r="Y51" s="492"/>
      <c r="Z51" s="494"/>
    </row>
    <row r="52" spans="1:26" ht="36" customHeight="1" thickBot="1" x14ac:dyDescent="0.3">
      <c r="A52" s="33"/>
      <c r="B52" s="724" t="s">
        <v>74</v>
      </c>
      <c r="C52" s="725"/>
      <c r="D52" s="75">
        <v>22296.799999999999</v>
      </c>
      <c r="E52" s="75">
        <v>22292.799999999999</v>
      </c>
      <c r="F52" s="75">
        <f t="shared" ref="F52" si="36">D52-E52</f>
        <v>4</v>
      </c>
      <c r="G52" s="75"/>
      <c r="H52" s="75"/>
      <c r="I52" s="75">
        <f t="shared" ref="I52" si="37">G52-H52</f>
        <v>0</v>
      </c>
      <c r="J52" s="75"/>
      <c r="K52" s="75"/>
      <c r="L52" s="75"/>
      <c r="M52" s="75"/>
      <c r="N52" s="75"/>
      <c r="O52" s="75"/>
      <c r="P52" s="75"/>
      <c r="Q52" s="75"/>
      <c r="R52" s="75">
        <f t="shared" si="34"/>
        <v>0</v>
      </c>
      <c r="S52" s="75">
        <f t="shared" si="35"/>
        <v>4</v>
      </c>
      <c r="T52" s="75"/>
      <c r="U52" s="579"/>
      <c r="V52" s="491"/>
      <c r="W52" s="492"/>
      <c r="X52" s="492"/>
      <c r="Y52" s="492"/>
      <c r="Z52" s="493"/>
    </row>
    <row r="53" spans="1:26" ht="15.75" thickBot="1" x14ac:dyDescent="0.3">
      <c r="A53" s="66"/>
      <c r="B53" s="94" t="s">
        <v>23</v>
      </c>
      <c r="C53" s="64"/>
      <c r="D53" s="76">
        <f>SUM(D50:D52)</f>
        <v>29265.8</v>
      </c>
      <c r="E53" s="76">
        <f t="shared" ref="E53:R53" si="38">SUM(E50:E52)</f>
        <v>26863.599999999999</v>
      </c>
      <c r="F53" s="77">
        <f t="shared" si="38"/>
        <v>2402.1999999999998</v>
      </c>
      <c r="G53" s="76">
        <f t="shared" si="38"/>
        <v>0</v>
      </c>
      <c r="H53" s="76">
        <f t="shared" si="38"/>
        <v>0</v>
      </c>
      <c r="I53" s="77">
        <f t="shared" si="38"/>
        <v>0</v>
      </c>
      <c r="J53" s="76">
        <f t="shared" si="38"/>
        <v>0</v>
      </c>
      <c r="K53" s="76">
        <f t="shared" si="38"/>
        <v>0</v>
      </c>
      <c r="L53" s="77">
        <f t="shared" si="38"/>
        <v>0</v>
      </c>
      <c r="M53" s="76">
        <f t="shared" si="38"/>
        <v>0</v>
      </c>
      <c r="N53" s="76">
        <f t="shared" si="38"/>
        <v>0</v>
      </c>
      <c r="O53" s="77">
        <f t="shared" si="38"/>
        <v>0</v>
      </c>
      <c r="P53" s="76">
        <f t="shared" si="38"/>
        <v>1200</v>
      </c>
      <c r="Q53" s="76">
        <f t="shared" si="38"/>
        <v>1200</v>
      </c>
      <c r="R53" s="77">
        <f t="shared" si="38"/>
        <v>0</v>
      </c>
      <c r="S53" s="77">
        <f>SUM(S50:S52)</f>
        <v>2402.1999999999998</v>
      </c>
      <c r="T53" s="96">
        <f>S53/D53</f>
        <v>8.2082157330399308E-2</v>
      </c>
      <c r="U53" s="579"/>
      <c r="V53" s="475"/>
      <c r="W53" s="498"/>
      <c r="X53" s="497"/>
      <c r="Y53" s="498"/>
      <c r="Z53" s="499"/>
    </row>
    <row r="54" spans="1:26" x14ac:dyDescent="0.25">
      <c r="A54" s="33" t="s">
        <v>55</v>
      </c>
      <c r="B54" s="745" t="s">
        <v>56</v>
      </c>
      <c r="C54" s="746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79"/>
      <c r="V54" s="495"/>
      <c r="W54" s="475"/>
      <c r="X54" s="497"/>
      <c r="Y54" s="492"/>
      <c r="Z54" s="493"/>
    </row>
    <row r="55" spans="1:26" ht="30.75" customHeight="1" thickBot="1" x14ac:dyDescent="0.3">
      <c r="A55" s="33"/>
      <c r="B55" s="726" t="s">
        <v>73</v>
      </c>
      <c r="C55" s="727"/>
      <c r="D55" s="92"/>
      <c r="E55" s="92"/>
      <c r="F55" s="92">
        <f>D55-E55</f>
        <v>0</v>
      </c>
      <c r="G55" s="92"/>
      <c r="H55" s="92"/>
      <c r="I55" s="75">
        <f t="shared" ref="I55:I56" si="39">G55-H55</f>
        <v>0</v>
      </c>
      <c r="J55" s="92"/>
      <c r="K55" s="92"/>
      <c r="L55" s="92">
        <f>J55-K55</f>
        <v>0</v>
      </c>
      <c r="M55" s="92"/>
      <c r="N55" s="92"/>
      <c r="O55" s="92">
        <f>M55-N55</f>
        <v>0</v>
      </c>
      <c r="P55" s="92">
        <v>490</v>
      </c>
      <c r="Q55" s="92">
        <v>490</v>
      </c>
      <c r="R55" s="92">
        <f t="shared" ref="R55:R56" si="40">P55-Q55</f>
        <v>0</v>
      </c>
      <c r="S55" s="92">
        <f t="shared" ref="S55:S56" si="41">F55+I55+L55+O55+R55</f>
        <v>0</v>
      </c>
      <c r="T55" s="92"/>
      <c r="U55" s="579"/>
      <c r="V55" s="491"/>
      <c r="W55" s="492"/>
      <c r="X55" s="492"/>
      <c r="Y55" s="492"/>
      <c r="Z55" s="493"/>
    </row>
    <row r="56" spans="1:26" ht="33.75" customHeight="1" thickBot="1" x14ac:dyDescent="0.3">
      <c r="A56" s="33"/>
      <c r="B56" s="724" t="s">
        <v>74</v>
      </c>
      <c r="C56" s="725"/>
      <c r="D56" s="75">
        <v>5297.1</v>
      </c>
      <c r="E56" s="75">
        <v>5233.7</v>
      </c>
      <c r="F56" s="92">
        <f>D56-E56</f>
        <v>63.400000000000546</v>
      </c>
      <c r="G56" s="75"/>
      <c r="H56" s="75"/>
      <c r="I56" s="75">
        <f t="shared" si="39"/>
        <v>0</v>
      </c>
      <c r="J56" s="75"/>
      <c r="K56" s="75"/>
      <c r="L56" s="75"/>
      <c r="M56" s="75"/>
      <c r="N56" s="75"/>
      <c r="O56" s="75"/>
      <c r="P56" s="75"/>
      <c r="Q56" s="75"/>
      <c r="R56" s="75">
        <f t="shared" si="40"/>
        <v>0</v>
      </c>
      <c r="S56" s="75">
        <f t="shared" si="41"/>
        <v>63.400000000000546</v>
      </c>
      <c r="T56" s="75"/>
      <c r="U56" s="579"/>
      <c r="V56" s="491"/>
      <c r="W56" s="492"/>
      <c r="X56" s="492"/>
      <c r="Y56" s="492"/>
      <c r="Z56" s="493"/>
    </row>
    <row r="57" spans="1:26" ht="15.75" thickBot="1" x14ac:dyDescent="0.3">
      <c r="A57" s="66"/>
      <c r="B57" s="64" t="s">
        <v>23</v>
      </c>
      <c r="C57" s="64"/>
      <c r="D57" s="76">
        <f>SUM(D54:D56)</f>
        <v>5297.1</v>
      </c>
      <c r="E57" s="76">
        <f t="shared" ref="E57:N57" si="42">SUM(E54:E56)</f>
        <v>5233.7</v>
      </c>
      <c r="F57" s="77">
        <f t="shared" si="42"/>
        <v>63.400000000000546</v>
      </c>
      <c r="G57" s="76">
        <f t="shared" si="42"/>
        <v>0</v>
      </c>
      <c r="H57" s="76">
        <f t="shared" si="42"/>
        <v>0</v>
      </c>
      <c r="I57" s="77">
        <f t="shared" si="42"/>
        <v>0</v>
      </c>
      <c r="J57" s="76">
        <f t="shared" si="42"/>
        <v>0</v>
      </c>
      <c r="K57" s="76">
        <f t="shared" si="42"/>
        <v>0</v>
      </c>
      <c r="L57" s="77">
        <f t="shared" si="42"/>
        <v>0</v>
      </c>
      <c r="M57" s="76">
        <f t="shared" si="42"/>
        <v>0</v>
      </c>
      <c r="N57" s="76">
        <f t="shared" si="42"/>
        <v>0</v>
      </c>
      <c r="O57" s="77">
        <f>SUM(O54:O56)</f>
        <v>0</v>
      </c>
      <c r="P57" s="76">
        <f t="shared" ref="P57:R57" si="43">SUM(P54:P56)</f>
        <v>490</v>
      </c>
      <c r="Q57" s="76">
        <f t="shared" si="43"/>
        <v>490</v>
      </c>
      <c r="R57" s="77">
        <f t="shared" si="43"/>
        <v>0</v>
      </c>
      <c r="S57" s="104">
        <f>SUM(S54:S56)</f>
        <v>63.400000000000546</v>
      </c>
      <c r="T57" s="96">
        <f>S57/D57</f>
        <v>1.196881312416238E-2</v>
      </c>
      <c r="U57" s="579"/>
      <c r="V57" s="475"/>
      <c r="W57" s="502"/>
      <c r="X57" s="497"/>
      <c r="Y57" s="498"/>
      <c r="Z57" s="499"/>
    </row>
    <row r="58" spans="1:26" x14ac:dyDescent="0.25">
      <c r="A58" s="33" t="s">
        <v>57</v>
      </c>
      <c r="B58" s="745" t="s">
        <v>58</v>
      </c>
      <c r="C58" s="74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579"/>
      <c r="V58" s="495"/>
      <c r="W58" s="475"/>
      <c r="X58" s="497"/>
      <c r="Y58" s="492"/>
      <c r="Z58" s="493"/>
    </row>
    <row r="59" spans="1:26" ht="33" customHeight="1" x14ac:dyDescent="0.25">
      <c r="A59" s="33"/>
      <c r="B59" s="726" t="s">
        <v>73</v>
      </c>
      <c r="C59" s="727"/>
      <c r="D59" s="573">
        <v>55101.9</v>
      </c>
      <c r="E59" s="572">
        <v>46926.2</v>
      </c>
      <c r="F59" s="573">
        <f>D59-E59</f>
        <v>8175.7000000000044</v>
      </c>
      <c r="G59" s="92"/>
      <c r="H59" s="92"/>
      <c r="I59" s="92">
        <f t="shared" ref="I59:I60" si="44">G59-H59</f>
        <v>0</v>
      </c>
      <c r="J59" s="92">
        <v>1344</v>
      </c>
      <c r="K59" s="92">
        <v>1300</v>
      </c>
      <c r="L59" s="92">
        <f>J59-K59</f>
        <v>44</v>
      </c>
      <c r="M59" s="92"/>
      <c r="N59" s="92"/>
      <c r="O59" s="92">
        <f>M59-N59</f>
        <v>0</v>
      </c>
      <c r="P59" s="92">
        <v>7184.5</v>
      </c>
      <c r="Q59" s="92">
        <v>7184.5</v>
      </c>
      <c r="R59" s="92">
        <f t="shared" ref="R59:R60" si="45">P59-Q59</f>
        <v>0</v>
      </c>
      <c r="S59" s="92">
        <f>F59+I59+L59+O59+R59</f>
        <v>8219.7000000000044</v>
      </c>
      <c r="T59" s="92"/>
      <c r="U59" s="579"/>
      <c r="V59" s="491"/>
      <c r="W59" s="492"/>
      <c r="X59" s="492"/>
      <c r="Y59" s="492"/>
      <c r="Z59" s="494"/>
    </row>
    <row r="60" spans="1:26" ht="34.5" customHeight="1" thickBot="1" x14ac:dyDescent="0.3">
      <c r="A60" s="33"/>
      <c r="B60" s="724" t="s">
        <v>74</v>
      </c>
      <c r="C60" s="725"/>
      <c r="D60" s="75">
        <v>4386.3</v>
      </c>
      <c r="E60" s="75">
        <v>4386.3</v>
      </c>
      <c r="F60" s="75">
        <f t="shared" ref="F60" si="46">D60-E60</f>
        <v>0</v>
      </c>
      <c r="G60" s="75"/>
      <c r="H60" s="75"/>
      <c r="I60" s="75">
        <f t="shared" si="44"/>
        <v>0</v>
      </c>
      <c r="J60" s="75"/>
      <c r="K60" s="75"/>
      <c r="L60" s="75"/>
      <c r="M60" s="75"/>
      <c r="N60" s="75"/>
      <c r="O60" s="75"/>
      <c r="P60" s="75"/>
      <c r="Q60" s="75"/>
      <c r="R60" s="75">
        <f t="shared" si="45"/>
        <v>0</v>
      </c>
      <c r="S60" s="75">
        <f t="shared" ref="S60" si="47">F60+I60+L60+O60+R60</f>
        <v>0</v>
      </c>
      <c r="T60" s="75"/>
      <c r="U60" s="579"/>
      <c r="V60" s="491"/>
      <c r="W60" s="503"/>
      <c r="X60" s="497"/>
      <c r="Y60" s="492"/>
      <c r="Z60" s="493"/>
    </row>
    <row r="61" spans="1:26" ht="15.75" thickBot="1" x14ac:dyDescent="0.3">
      <c r="A61" s="66"/>
      <c r="B61" s="94" t="s">
        <v>23</v>
      </c>
      <c r="C61" s="64"/>
      <c r="D61" s="76">
        <f>SUM(D58:D60)</f>
        <v>59488.200000000004</v>
      </c>
      <c r="E61" s="76">
        <f t="shared" ref="E61:R61" si="48">SUM(E58:E60)</f>
        <v>51312.5</v>
      </c>
      <c r="F61" s="104">
        <f t="shared" si="48"/>
        <v>8175.7000000000044</v>
      </c>
      <c r="G61" s="76">
        <f t="shared" si="48"/>
        <v>0</v>
      </c>
      <c r="H61" s="76">
        <f t="shared" si="48"/>
        <v>0</v>
      </c>
      <c r="I61" s="77">
        <f t="shared" si="48"/>
        <v>0</v>
      </c>
      <c r="J61" s="76">
        <f t="shared" si="48"/>
        <v>1344</v>
      </c>
      <c r="K61" s="76">
        <f t="shared" si="48"/>
        <v>1300</v>
      </c>
      <c r="L61" s="77">
        <f t="shared" si="48"/>
        <v>44</v>
      </c>
      <c r="M61" s="76">
        <f t="shared" si="48"/>
        <v>0</v>
      </c>
      <c r="N61" s="76">
        <f t="shared" si="48"/>
        <v>0</v>
      </c>
      <c r="O61" s="77">
        <f t="shared" si="48"/>
        <v>0</v>
      </c>
      <c r="P61" s="76">
        <f t="shared" si="48"/>
        <v>7184.5</v>
      </c>
      <c r="Q61" s="76">
        <f t="shared" si="48"/>
        <v>7184.5</v>
      </c>
      <c r="R61" s="77">
        <f t="shared" si="48"/>
        <v>0</v>
      </c>
      <c r="S61" s="104">
        <f>SUM(S58:S60)</f>
        <v>8219.7000000000044</v>
      </c>
      <c r="T61" s="96">
        <f>S61/(D61+J61)</f>
        <v>0.13512087348476634</v>
      </c>
      <c r="U61" s="579"/>
      <c r="V61" s="475"/>
      <c r="W61" s="498"/>
      <c r="X61" s="497"/>
      <c r="Y61" s="498"/>
      <c r="Z61" s="499"/>
    </row>
    <row r="62" spans="1:26" x14ac:dyDescent="0.25">
      <c r="A62" s="33" t="s">
        <v>60</v>
      </c>
      <c r="B62" s="745" t="s">
        <v>59</v>
      </c>
      <c r="C62" s="74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579"/>
      <c r="V62" s="495"/>
      <c r="W62" s="475"/>
      <c r="X62" s="492"/>
      <c r="Y62" s="492"/>
      <c r="Z62" s="493"/>
    </row>
    <row r="63" spans="1:26" ht="33.75" customHeight="1" x14ac:dyDescent="0.25">
      <c r="A63" s="33"/>
      <c r="B63" s="726" t="s">
        <v>73</v>
      </c>
      <c r="C63" s="727"/>
      <c r="D63" s="92">
        <v>21677.5</v>
      </c>
      <c r="E63" s="92">
        <v>18425.8</v>
      </c>
      <c r="F63" s="92">
        <f>D63-E63</f>
        <v>3251.7000000000007</v>
      </c>
      <c r="G63" s="92">
        <v>225.8</v>
      </c>
      <c r="H63" s="92">
        <v>190.9</v>
      </c>
      <c r="I63" s="92">
        <f t="shared" ref="I63:I64" si="49">G63-H63</f>
        <v>34.900000000000006</v>
      </c>
      <c r="J63" s="92">
        <v>5627.3</v>
      </c>
      <c r="K63" s="92">
        <v>5500</v>
      </c>
      <c r="L63" s="92">
        <f>J63-K63</f>
        <v>127.30000000000018</v>
      </c>
      <c r="M63" s="92"/>
      <c r="N63" s="92"/>
      <c r="O63" s="92">
        <f>M63-N63</f>
        <v>0</v>
      </c>
      <c r="P63" s="92">
        <v>1413.2</v>
      </c>
      <c r="Q63" s="92">
        <v>1413.2</v>
      </c>
      <c r="R63" s="92">
        <f t="shared" ref="R63:R64" si="50">P63-Q63</f>
        <v>0</v>
      </c>
      <c r="S63" s="92">
        <f>F63+I63+L63+O63+R63</f>
        <v>3413.900000000001</v>
      </c>
      <c r="T63" s="92"/>
      <c r="U63" s="579"/>
      <c r="V63" s="491"/>
      <c r="W63" s="475"/>
      <c r="X63" s="492"/>
      <c r="Y63" s="492"/>
      <c r="Z63" s="493"/>
    </row>
    <row r="64" spans="1:26" ht="32.25" customHeight="1" thickBot="1" x14ac:dyDescent="0.3">
      <c r="A64" s="33"/>
      <c r="B64" s="724" t="s">
        <v>74</v>
      </c>
      <c r="C64" s="725"/>
      <c r="D64" s="75">
        <v>14469</v>
      </c>
      <c r="E64" s="75">
        <v>13527.8</v>
      </c>
      <c r="F64" s="75">
        <f>D64-E64</f>
        <v>941.20000000000073</v>
      </c>
      <c r="G64" s="75">
        <v>299.89999999999998</v>
      </c>
      <c r="H64" s="75">
        <v>280</v>
      </c>
      <c r="I64" s="75">
        <f t="shared" si="49"/>
        <v>19.899999999999977</v>
      </c>
      <c r="J64" s="75"/>
      <c r="K64" s="75"/>
      <c r="L64" s="75"/>
      <c r="M64" s="75"/>
      <c r="N64" s="75"/>
      <c r="O64" s="75"/>
      <c r="P64" s="75"/>
      <c r="Q64" s="75"/>
      <c r="R64" s="75">
        <f t="shared" si="50"/>
        <v>0</v>
      </c>
      <c r="S64" s="75">
        <f t="shared" ref="S64" si="51">F64+I64+L64+O64+R64</f>
        <v>961.1000000000007</v>
      </c>
      <c r="T64" s="75"/>
      <c r="U64" s="579"/>
      <c r="V64" s="491"/>
      <c r="W64" s="492"/>
      <c r="X64" s="492"/>
      <c r="Y64" s="492"/>
      <c r="Z64" s="493"/>
    </row>
    <row r="65" spans="1:27" ht="15.75" thickBot="1" x14ac:dyDescent="0.3">
      <c r="A65" s="66"/>
      <c r="B65" s="94" t="s">
        <v>23</v>
      </c>
      <c r="C65" s="64"/>
      <c r="D65" s="76">
        <f>SUM(D62:D64)</f>
        <v>36146.5</v>
      </c>
      <c r="E65" s="76">
        <f>SUM(E62:E64)</f>
        <v>31953.599999999999</v>
      </c>
      <c r="F65" s="77">
        <f>SUM(F62:F64)</f>
        <v>4192.9000000000015</v>
      </c>
      <c r="G65" s="76">
        <f t="shared" ref="G65:R65" si="52">SUM(G62:G64)</f>
        <v>525.70000000000005</v>
      </c>
      <c r="H65" s="76">
        <f t="shared" si="52"/>
        <v>470.9</v>
      </c>
      <c r="I65" s="77">
        <f t="shared" si="52"/>
        <v>54.799999999999983</v>
      </c>
      <c r="J65" s="76">
        <f t="shared" si="52"/>
        <v>5627.3</v>
      </c>
      <c r="K65" s="76">
        <f t="shared" si="52"/>
        <v>5500</v>
      </c>
      <c r="L65" s="77">
        <f t="shared" si="52"/>
        <v>127.30000000000018</v>
      </c>
      <c r="M65" s="76">
        <f t="shared" si="52"/>
        <v>0</v>
      </c>
      <c r="N65" s="76">
        <f t="shared" si="52"/>
        <v>0</v>
      </c>
      <c r="O65" s="77">
        <f t="shared" si="52"/>
        <v>0</v>
      </c>
      <c r="P65" s="76">
        <f t="shared" si="52"/>
        <v>1413.2</v>
      </c>
      <c r="Q65" s="76">
        <f t="shared" si="52"/>
        <v>1413.2</v>
      </c>
      <c r="R65" s="77">
        <f t="shared" si="52"/>
        <v>0</v>
      </c>
      <c r="S65" s="104">
        <f>SUM(S62:S64)</f>
        <v>4375.0000000000018</v>
      </c>
      <c r="T65" s="96">
        <f>S65/(D65+G65+J65)</f>
        <v>0.1034291185475006</v>
      </c>
      <c r="U65" s="579"/>
      <c r="V65" s="475"/>
      <c r="W65" s="498"/>
      <c r="X65" s="503"/>
      <c r="Y65" s="498"/>
      <c r="Z65" s="499"/>
    </row>
    <row r="66" spans="1:27" x14ac:dyDescent="0.25">
      <c r="A66" s="33" t="s">
        <v>61</v>
      </c>
      <c r="B66" s="745" t="s">
        <v>62</v>
      </c>
      <c r="C66" s="746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579"/>
      <c r="V66" s="495"/>
      <c r="W66" s="475"/>
      <c r="X66" s="504"/>
      <c r="Y66" s="492"/>
      <c r="Z66" s="493"/>
    </row>
    <row r="67" spans="1:27" ht="32.25" customHeight="1" thickBot="1" x14ac:dyDescent="0.3">
      <c r="A67" s="33"/>
      <c r="B67" s="726" t="s">
        <v>73</v>
      </c>
      <c r="C67" s="727"/>
      <c r="D67" s="572">
        <v>85794.7</v>
      </c>
      <c r="E67" s="92">
        <v>75839.3</v>
      </c>
      <c r="F67" s="485">
        <v>8816.5</v>
      </c>
      <c r="G67" s="92"/>
      <c r="H67" s="92"/>
      <c r="I67" s="92">
        <f>G67-H67</f>
        <v>0</v>
      </c>
      <c r="J67" s="92"/>
      <c r="K67" s="92"/>
      <c r="L67" s="92"/>
      <c r="M67" s="217"/>
      <c r="N67" s="217"/>
      <c r="O67" s="92">
        <f>M67-N67</f>
        <v>0</v>
      </c>
      <c r="P67" s="217"/>
      <c r="Q67" s="92"/>
      <c r="R67" s="92">
        <f>P67-Q67</f>
        <v>0</v>
      </c>
      <c r="S67" s="92"/>
      <c r="T67" s="92"/>
      <c r="U67" s="579"/>
      <c r="V67" s="491"/>
      <c r="W67" s="492"/>
      <c r="X67" s="492"/>
      <c r="Y67" s="492"/>
      <c r="Z67" s="493"/>
    </row>
    <row r="68" spans="1:27" ht="34.5" customHeight="1" thickBot="1" x14ac:dyDescent="0.3">
      <c r="A68" s="33"/>
      <c r="B68" s="724" t="s">
        <v>74</v>
      </c>
      <c r="C68" s="725"/>
      <c r="D68" s="75">
        <v>115232.3</v>
      </c>
      <c r="E68" s="75">
        <v>84183</v>
      </c>
      <c r="F68" s="75">
        <v>469.3</v>
      </c>
      <c r="G68" s="75"/>
      <c r="H68" s="75"/>
      <c r="I68" s="92">
        <f>G68-H68</f>
        <v>0</v>
      </c>
      <c r="J68" s="578">
        <v>43224</v>
      </c>
      <c r="K68" s="75"/>
      <c r="L68" s="75"/>
      <c r="M68" s="75"/>
      <c r="N68" s="75"/>
      <c r="O68" s="75"/>
      <c r="P68" s="75">
        <v>7721.8</v>
      </c>
      <c r="Q68" s="75">
        <v>7721.8</v>
      </c>
      <c r="R68" s="75">
        <v>0</v>
      </c>
      <c r="S68" s="75"/>
      <c r="T68" s="75"/>
      <c r="U68" s="579"/>
      <c r="V68" s="491"/>
      <c r="W68" s="491"/>
      <c r="X68" s="503"/>
      <c r="Y68" s="492"/>
      <c r="Z68" s="493"/>
    </row>
    <row r="69" spans="1:27" ht="15.75" thickBot="1" x14ac:dyDescent="0.3">
      <c r="A69" s="139"/>
      <c r="B69" s="140" t="s">
        <v>23</v>
      </c>
      <c r="C69" s="140"/>
      <c r="D69" s="141">
        <f>SUM(D66:D68)</f>
        <v>201027</v>
      </c>
      <c r="E69" s="141">
        <f>SUM(E66:E68)</f>
        <v>160022.29999999999</v>
      </c>
      <c r="F69" s="142">
        <f>F67+F68</f>
        <v>9285.7999999999993</v>
      </c>
      <c r="G69" s="141">
        <f>SUM(G66:G68)</f>
        <v>0</v>
      </c>
      <c r="H69" s="141">
        <f>SUM(H66:H68)</f>
        <v>0</v>
      </c>
      <c r="I69" s="142">
        <f t="shared" si="4"/>
        <v>0</v>
      </c>
      <c r="J69" s="141">
        <f>J68</f>
        <v>43224</v>
      </c>
      <c r="K69" s="141"/>
      <c r="L69" s="142">
        <v>0</v>
      </c>
      <c r="M69" s="141">
        <f>M67</f>
        <v>0</v>
      </c>
      <c r="N69" s="141">
        <f>N67</f>
        <v>0</v>
      </c>
      <c r="O69" s="142">
        <v>0</v>
      </c>
      <c r="P69" s="141">
        <f>SUM(P66:P68)</f>
        <v>7721.8</v>
      </c>
      <c r="Q69" s="141">
        <f>SUM(Q66:Q68)</f>
        <v>7721.8</v>
      </c>
      <c r="R69" s="142">
        <f t="shared" si="0"/>
        <v>0</v>
      </c>
      <c r="S69" s="143">
        <f>F69+I69+L69+O69+R69</f>
        <v>9285.7999999999993</v>
      </c>
      <c r="T69" s="144">
        <f>S69/(D69+G69+J69)</f>
        <v>3.8017449263257876E-2</v>
      </c>
      <c r="U69" s="579"/>
      <c r="V69" s="475"/>
      <c r="W69" s="498"/>
      <c r="X69" s="503"/>
      <c r="Y69" s="498"/>
      <c r="Z69" s="497"/>
    </row>
    <row r="70" spans="1:27" ht="16.5" thickBot="1" x14ac:dyDescent="0.3">
      <c r="A70" s="145"/>
      <c r="B70" s="146" t="s">
        <v>63</v>
      </c>
      <c r="C70" s="147"/>
      <c r="D70" s="574">
        <f>D17+D21+D25+D29+D33+D37+D41+D45+D49+D53+D57+D61+D65+D69</f>
        <v>770123.7</v>
      </c>
      <c r="E70" s="574">
        <f>E17+E21+E25+E29+E33+E37+E41+E45+E49+E53+E57+E61+E65+E69</f>
        <v>693452.2</v>
      </c>
      <c r="F70" s="143">
        <f>F17+F21+F25+F29+F33+F37+F41+F45+F49+F53+F57+F61+F65+F69</f>
        <v>44952.599999999991</v>
      </c>
      <c r="G70" s="574">
        <f>G17+G21+G25+G29+G33+G37+G41+G45+G49+G53+G57+G61+G65+G69</f>
        <v>775.7</v>
      </c>
      <c r="H70" s="574">
        <f t="shared" ref="H70:R70" si="53">H17+H21+H25+H29+H33+H37+H41+H45+H49+H53+H57+H61+H65+H69</f>
        <v>680.9</v>
      </c>
      <c r="I70" s="143">
        <f>I17+I21+I25+I29+I33+I37+I41+I45+I49+I53+I57+I61+I65+I69</f>
        <v>94.799999999999983</v>
      </c>
      <c r="J70" s="574">
        <f>J17+J21+J25+J29+J33+J37+J41+J45+J49+J53+J57+J61+J65+J69</f>
        <v>69981.899999999994</v>
      </c>
      <c r="K70" s="574">
        <f t="shared" si="53"/>
        <v>22439.5</v>
      </c>
      <c r="L70" s="143">
        <f>L17+L21+L25+L29+L33+L37+L41+L45+L49+L53+L57+L61+L65+L69</f>
        <v>518.40000000000055</v>
      </c>
      <c r="M70" s="574">
        <f>M17+M21+M25+M29+M33+M37+M41+M45+M49+M53+M57+M61+M65+M69</f>
        <v>89166.7</v>
      </c>
      <c r="N70" s="574">
        <f>N17+N21+N25+N29+N33+N37+N41+N45+N49+N53+N57+N61+N65+N69</f>
        <v>89166.7</v>
      </c>
      <c r="O70" s="143">
        <f>O17+O21+O25+O29+O33+O37+O41+O45+O49+O53+O57+O61+O65+O69</f>
        <v>0</v>
      </c>
      <c r="P70" s="574">
        <f t="shared" si="53"/>
        <v>44249.100000000006</v>
      </c>
      <c r="Q70" s="574">
        <f>Q17+Q21+Q25+Q29+Q33+Q37+Q41+Q45+Q49+Q53+Q57+Q61+Q65+Q69</f>
        <v>44249.100000000006</v>
      </c>
      <c r="R70" s="143">
        <f t="shared" si="53"/>
        <v>0</v>
      </c>
      <c r="S70" s="143">
        <f>S17+S21+S25+S29+S33+S37+S41+S45+S49+S53+S57+S61+S65+S69</f>
        <v>45565.8</v>
      </c>
      <c r="T70" s="575">
        <f>S70/(D70+G70+J70+M70)</f>
        <v>4.8992955202312151E-2</v>
      </c>
      <c r="U70" s="579"/>
      <c r="V70" s="475"/>
      <c r="W70" s="505"/>
      <c r="X70" s="506"/>
      <c r="Y70" s="507"/>
      <c r="Z70" s="493"/>
    </row>
    <row r="71" spans="1:27" x14ac:dyDescent="0.25">
      <c r="B71" s="15"/>
      <c r="C71" s="15"/>
      <c r="D71" s="15"/>
      <c r="E71" s="521"/>
      <c r="F71" s="521"/>
      <c r="G71" s="15"/>
      <c r="H71" s="521"/>
      <c r="I71" s="521"/>
      <c r="J71" s="15"/>
      <c r="K71" s="521"/>
      <c r="L71" s="522"/>
      <c r="M71" s="15"/>
      <c r="N71" s="15"/>
      <c r="O71" s="521"/>
      <c r="P71" s="15"/>
      <c r="Q71" s="15"/>
      <c r="R71" s="15"/>
      <c r="S71" s="523"/>
      <c r="U71" s="493"/>
      <c r="V71" s="493"/>
      <c r="W71" s="508"/>
      <c r="X71" s="493"/>
      <c r="Y71" s="186"/>
      <c r="Z71" s="493"/>
    </row>
    <row r="72" spans="1:27" x14ac:dyDescent="0.25">
      <c r="B72" s="15"/>
      <c r="C72" s="15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524"/>
      <c r="V72" s="524"/>
      <c r="W72" s="15"/>
      <c r="X72" s="58"/>
      <c r="Y72" s="58"/>
      <c r="Z72" s="58"/>
      <c r="AA72" s="58"/>
    </row>
    <row r="73" spans="1:27" x14ac:dyDescent="0.25">
      <c r="B73" s="15"/>
      <c r="C73" s="15"/>
      <c r="D73" s="17"/>
      <c r="E73" s="524"/>
      <c r="F73" s="525"/>
      <c r="G73" s="15"/>
      <c r="H73" s="15"/>
      <c r="I73" s="15"/>
      <c r="J73" s="17"/>
      <c r="K73" s="17"/>
      <c r="L73" s="526"/>
      <c r="M73" s="15"/>
      <c r="N73" s="527"/>
      <c r="O73" s="528"/>
      <c r="P73" s="521"/>
      <c r="Q73" s="15"/>
      <c r="R73" s="15"/>
      <c r="S73" s="19"/>
      <c r="U73" s="509"/>
      <c r="V73" s="365"/>
      <c r="W73" s="58"/>
      <c r="X73" s="58"/>
      <c r="Y73" s="58"/>
      <c r="Z73" s="58"/>
      <c r="AA73" s="58"/>
    </row>
    <row r="74" spans="1:27" x14ac:dyDescent="0.25">
      <c r="B74" s="15"/>
      <c r="C74" s="15"/>
      <c r="D74" s="17"/>
      <c r="E74" s="17"/>
      <c r="F74" s="525"/>
      <c r="G74" s="529"/>
      <c r="H74" s="258"/>
      <c r="I74" s="15"/>
      <c r="J74" s="15"/>
      <c r="K74" s="15"/>
      <c r="L74" s="15"/>
      <c r="M74" s="19"/>
      <c r="N74" s="15"/>
      <c r="O74" s="15"/>
      <c r="P74" s="15"/>
      <c r="Q74" s="15"/>
      <c r="R74" s="15"/>
      <c r="S74" s="521"/>
      <c r="U74" s="363"/>
      <c r="V74" s="58"/>
      <c r="W74" s="58"/>
      <c r="X74" s="58"/>
      <c r="Y74" s="58"/>
      <c r="Z74" s="58"/>
      <c r="AA74" s="58"/>
    </row>
    <row r="75" spans="1:27" x14ac:dyDescent="0.25">
      <c r="B75" s="15"/>
      <c r="C75" s="15"/>
      <c r="D75" s="17"/>
      <c r="E75" s="15"/>
      <c r="F75" s="525"/>
      <c r="G75" s="529"/>
      <c r="H75" s="258"/>
      <c r="I75" s="15"/>
      <c r="J75" s="17"/>
      <c r="K75" s="15"/>
      <c r="L75" s="158"/>
      <c r="M75" s="15"/>
      <c r="N75" s="530"/>
      <c r="O75" s="15"/>
      <c r="P75" s="15"/>
      <c r="Q75" s="15"/>
      <c r="R75" s="15"/>
      <c r="S75" s="524"/>
      <c r="U75" s="365"/>
      <c r="V75" s="365"/>
      <c r="W75" s="58"/>
      <c r="X75" s="366"/>
      <c r="Y75" s="366"/>
      <c r="Z75" s="366"/>
      <c r="AA75" s="58"/>
    </row>
    <row r="76" spans="1:27" x14ac:dyDescent="0.25">
      <c r="B76" s="15"/>
      <c r="C76" s="15"/>
      <c r="D76" s="17"/>
      <c r="E76" s="15"/>
      <c r="F76" s="525"/>
      <c r="G76" s="529"/>
      <c r="H76" s="258"/>
      <c r="I76" s="15"/>
      <c r="J76" s="15"/>
      <c r="K76" s="15"/>
      <c r="L76" s="158"/>
      <c r="M76" s="15"/>
      <c r="N76" s="15"/>
      <c r="O76" s="15"/>
      <c r="P76" s="15"/>
      <c r="Q76" s="15"/>
      <c r="R76" s="15"/>
      <c r="S76" s="15"/>
      <c r="U76" s="58"/>
      <c r="V76" s="365"/>
      <c r="W76" s="58"/>
      <c r="X76" s="58"/>
      <c r="Y76" s="58"/>
      <c r="Z76" s="58"/>
      <c r="AA76" s="58"/>
    </row>
    <row r="77" spans="1:27" x14ac:dyDescent="0.25">
      <c r="B77" s="15"/>
      <c r="C77" s="15"/>
      <c r="D77" s="17"/>
      <c r="E77" s="15"/>
      <c r="F77" s="525"/>
      <c r="G77" s="529"/>
      <c r="H77" s="258"/>
      <c r="I77" s="15"/>
      <c r="J77" s="531"/>
      <c r="K77" s="15"/>
      <c r="L77" s="158"/>
      <c r="M77" s="15"/>
      <c r="N77" s="15"/>
      <c r="O77" s="15"/>
      <c r="P77" s="15"/>
      <c r="Q77" s="15"/>
      <c r="R77" s="17"/>
      <c r="S77" s="524"/>
      <c r="U77" s="58"/>
      <c r="V77" s="365"/>
      <c r="W77" s="58"/>
      <c r="X77" s="58"/>
      <c r="Y77" s="58"/>
      <c r="Z77" s="58"/>
      <c r="AA77" s="58"/>
    </row>
    <row r="78" spans="1:27" x14ac:dyDescent="0.25">
      <c r="B78" s="15"/>
      <c r="C78" s="15"/>
      <c r="D78" s="17"/>
      <c r="E78" s="15"/>
      <c r="F78" s="525"/>
      <c r="G78" s="529"/>
      <c r="H78" s="258"/>
      <c r="I78" s="531"/>
      <c r="J78" s="15"/>
      <c r="K78" s="15"/>
      <c r="L78" s="521"/>
      <c r="M78" s="15"/>
      <c r="N78" s="17"/>
      <c r="O78" s="17"/>
      <c r="P78" s="17"/>
      <c r="Q78" s="17"/>
      <c r="R78" s="15"/>
      <c r="S78" s="15"/>
      <c r="U78" s="58"/>
      <c r="V78" s="58"/>
      <c r="W78" s="58"/>
      <c r="X78" s="58"/>
      <c r="Y78" s="58"/>
      <c r="Z78" s="58"/>
      <c r="AA78" s="58"/>
    </row>
    <row r="79" spans="1:27" x14ac:dyDescent="0.25">
      <c r="B79" s="15"/>
      <c r="C79" s="15"/>
      <c r="D79" s="17"/>
      <c r="E79" s="15"/>
      <c r="F79" s="525"/>
      <c r="G79" s="19"/>
      <c r="H79" s="15"/>
      <c r="I79" s="15"/>
      <c r="J79" s="15"/>
      <c r="K79" s="15"/>
      <c r="L79" s="15"/>
      <c r="M79" s="15"/>
      <c r="N79" s="17"/>
      <c r="O79" s="17"/>
      <c r="P79" s="17"/>
      <c r="Q79" s="17"/>
      <c r="R79" s="15"/>
      <c r="S79" s="15"/>
      <c r="U79" s="58"/>
      <c r="V79" s="58"/>
      <c r="W79" s="58"/>
      <c r="X79" s="58"/>
      <c r="Y79" s="58"/>
      <c r="Z79" s="58"/>
      <c r="AA79" s="58"/>
    </row>
    <row r="80" spans="1:27" x14ac:dyDescent="0.25">
      <c r="B80" s="15"/>
      <c r="C80" s="527"/>
      <c r="D80" s="527"/>
      <c r="E80" s="532"/>
      <c r="F80" s="533"/>
      <c r="G80" s="533"/>
      <c r="H80" s="521"/>
      <c r="I80" s="15"/>
      <c r="J80" s="15"/>
      <c r="K80" s="15"/>
      <c r="L80" s="15"/>
      <c r="M80" s="15"/>
      <c r="N80" s="17"/>
      <c r="O80" s="17"/>
      <c r="P80" s="17"/>
      <c r="Q80" s="17"/>
      <c r="R80" s="17"/>
      <c r="S80" s="15"/>
      <c r="U80" s="256"/>
      <c r="V80" s="510"/>
      <c r="W80" s="364"/>
      <c r="X80" s="364"/>
      <c r="Y80" s="58"/>
      <c r="Z80" s="58"/>
      <c r="AA80" s="58"/>
    </row>
    <row r="81" spans="2:27" x14ac:dyDescent="0.25">
      <c r="B81" s="521"/>
      <c r="C81" s="532"/>
      <c r="D81" s="533"/>
      <c r="E81" s="527"/>
      <c r="F81" s="534"/>
      <c r="G81" s="535"/>
      <c r="H81" s="15"/>
      <c r="I81" s="15"/>
      <c r="J81" s="15"/>
      <c r="K81" s="15"/>
      <c r="L81" s="15"/>
      <c r="M81" s="15"/>
      <c r="N81" s="536"/>
      <c r="O81" s="17"/>
      <c r="P81" s="17"/>
      <c r="Q81" s="17"/>
      <c r="R81" s="17"/>
      <c r="S81" s="15"/>
      <c r="U81" s="256"/>
      <c r="V81" s="510"/>
      <c r="W81" s="364"/>
      <c r="X81" s="364"/>
      <c r="Y81" s="58"/>
      <c r="Z81" s="58"/>
      <c r="AA81" s="58"/>
    </row>
    <row r="82" spans="2:27" x14ac:dyDescent="0.25">
      <c r="B82" s="521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7"/>
      <c r="O82" s="17"/>
      <c r="P82" s="17"/>
      <c r="Q82" s="17"/>
      <c r="R82" s="17"/>
      <c r="S82" s="15"/>
      <c r="U82" s="256"/>
      <c r="V82" s="510"/>
      <c r="W82" s="364"/>
      <c r="X82" s="364"/>
      <c r="Y82" s="58"/>
      <c r="Z82" s="58"/>
      <c r="AA82" s="58"/>
    </row>
    <row r="83" spans="2:27" x14ac:dyDescent="0.25">
      <c r="B83" s="521"/>
      <c r="C83" s="15"/>
      <c r="D83" s="15"/>
      <c r="E83" s="521"/>
      <c r="F83" s="15"/>
      <c r="G83" s="15"/>
      <c r="H83" s="15"/>
      <c r="I83" s="15"/>
      <c r="J83" s="15"/>
      <c r="K83" s="15"/>
      <c r="L83" s="15"/>
      <c r="M83" s="15"/>
      <c r="N83" s="17"/>
      <c r="O83" s="17"/>
      <c r="P83" s="17"/>
      <c r="Q83" s="17"/>
      <c r="R83" s="17"/>
      <c r="S83" s="15"/>
      <c r="U83" s="256"/>
      <c r="V83" s="58"/>
      <c r="W83" s="364"/>
      <c r="X83" s="364"/>
      <c r="Y83" s="58"/>
      <c r="Z83" s="58"/>
      <c r="AA83" s="58"/>
    </row>
    <row r="84" spans="2:27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7"/>
      <c r="O84" s="17"/>
      <c r="P84" s="17"/>
      <c r="Q84" s="17"/>
      <c r="R84" s="17"/>
      <c r="S84" s="15"/>
      <c r="U84" s="256"/>
      <c r="V84" s="510"/>
      <c r="W84" s="364"/>
      <c r="X84" s="364"/>
      <c r="Y84" s="58"/>
      <c r="Z84" s="58"/>
      <c r="AA84" s="58"/>
    </row>
    <row r="85" spans="2:27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7"/>
      <c r="O85" s="17"/>
      <c r="P85" s="17"/>
      <c r="Q85" s="17"/>
      <c r="R85" s="17"/>
      <c r="S85" s="15"/>
      <c r="U85" s="256"/>
      <c r="V85" s="510"/>
      <c r="W85" s="364"/>
      <c r="X85" s="364"/>
      <c r="Y85" s="58"/>
      <c r="Z85" s="58"/>
      <c r="AA85" s="58"/>
    </row>
    <row r="86" spans="2:27" x14ac:dyDescent="0.25">
      <c r="B86" s="15"/>
      <c r="C86" s="15"/>
      <c r="D86" s="15"/>
      <c r="E86" s="15"/>
      <c r="F86" s="17"/>
      <c r="G86" s="17"/>
      <c r="H86" s="16"/>
      <c r="I86" s="16"/>
      <c r="J86" s="15"/>
      <c r="K86" s="15"/>
      <c r="L86" s="15"/>
      <c r="M86" s="15"/>
      <c r="N86" s="17"/>
      <c r="O86" s="17"/>
      <c r="P86" s="17"/>
      <c r="Q86" s="17"/>
      <c r="R86" s="17"/>
      <c r="S86" s="15"/>
      <c r="U86" s="58"/>
      <c r="V86" s="58"/>
      <c r="W86" s="58"/>
      <c r="X86" s="58"/>
      <c r="Y86" s="58"/>
      <c r="Z86" s="58"/>
      <c r="AA86" s="58"/>
    </row>
    <row r="87" spans="2:27" x14ac:dyDescent="0.25">
      <c r="B87" s="15"/>
      <c r="C87" s="15"/>
      <c r="D87" s="17"/>
      <c r="E87" s="15"/>
      <c r="F87" s="525"/>
      <c r="G87" s="525"/>
      <c r="H87" s="537"/>
      <c r="I87" s="537"/>
      <c r="J87" s="17"/>
      <c r="K87" s="537"/>
      <c r="L87" s="15"/>
      <c r="M87" s="15"/>
      <c r="N87" s="17"/>
      <c r="O87" s="17"/>
      <c r="P87" s="17"/>
      <c r="Q87" s="17"/>
      <c r="R87" s="17"/>
      <c r="S87" s="15"/>
      <c r="U87" s="366"/>
      <c r="V87" s="366"/>
      <c r="W87" s="365"/>
      <c r="X87" s="366"/>
      <c r="Y87" s="58"/>
      <c r="Z87" s="58"/>
      <c r="AA87" s="58"/>
    </row>
    <row r="88" spans="2:27" x14ac:dyDescent="0.25">
      <c r="B88" s="15"/>
      <c r="C88" s="15"/>
      <c r="D88" s="17"/>
      <c r="E88" s="15"/>
      <c r="F88" s="538"/>
      <c r="G88" s="538"/>
      <c r="H88" s="537"/>
      <c r="I88" s="537"/>
      <c r="J88" s="17"/>
      <c r="K88" s="537"/>
      <c r="L88" s="15"/>
      <c r="M88" s="15"/>
      <c r="N88" s="15"/>
      <c r="O88" s="15"/>
      <c r="P88" s="15"/>
      <c r="Q88" s="15"/>
      <c r="R88" s="15"/>
      <c r="S88" s="15"/>
      <c r="U88" s="365"/>
      <c r="V88" s="58"/>
      <c r="W88" s="58"/>
      <c r="X88" s="58"/>
      <c r="Y88" s="365"/>
      <c r="Z88" s="58"/>
      <c r="AA88" s="58"/>
    </row>
    <row r="89" spans="2:27" x14ac:dyDescent="0.25">
      <c r="B89" s="15"/>
      <c r="C89" s="15"/>
      <c r="D89" s="17"/>
      <c r="E89" s="15"/>
      <c r="F89" s="538"/>
      <c r="G89" s="538"/>
      <c r="H89" s="537"/>
      <c r="I89" s="537"/>
      <c r="J89" s="17"/>
      <c r="K89" s="537"/>
      <c r="L89" s="15"/>
      <c r="M89" s="15"/>
      <c r="N89" s="15"/>
      <c r="O89" s="15"/>
      <c r="P89" s="15"/>
      <c r="Q89" s="15"/>
      <c r="R89" s="15"/>
      <c r="S89" s="15"/>
      <c r="U89" s="58"/>
      <c r="V89" s="58"/>
      <c r="W89" s="58"/>
      <c r="X89" s="365"/>
      <c r="Y89" s="58"/>
      <c r="Z89" s="58"/>
      <c r="AA89" s="58"/>
    </row>
    <row r="90" spans="2:27" x14ac:dyDescent="0.25">
      <c r="B90" s="15"/>
      <c r="C90" s="15"/>
      <c r="D90" s="17"/>
      <c r="E90" s="15"/>
      <c r="F90" s="538"/>
      <c r="G90" s="538"/>
      <c r="H90" s="537"/>
      <c r="I90" s="537"/>
      <c r="J90" s="17"/>
      <c r="K90" s="537"/>
      <c r="L90" s="15"/>
      <c r="M90" s="15"/>
      <c r="N90" s="15"/>
      <c r="O90" s="15"/>
      <c r="P90" s="15"/>
      <c r="Q90" s="15"/>
      <c r="R90" s="15"/>
      <c r="S90" s="15"/>
      <c r="U90" s="58"/>
      <c r="V90" s="58"/>
      <c r="W90" s="58"/>
      <c r="X90" s="365"/>
      <c r="Y90" s="58"/>
      <c r="Z90" s="58"/>
      <c r="AA90" s="58"/>
    </row>
    <row r="91" spans="2:27" x14ac:dyDescent="0.25">
      <c r="B91" s="15"/>
      <c r="C91" s="15"/>
      <c r="D91" s="17"/>
      <c r="E91" s="15"/>
      <c r="F91" s="156"/>
      <c r="G91" s="156"/>
      <c r="H91" s="537"/>
      <c r="I91" s="537"/>
      <c r="J91" s="17"/>
      <c r="K91" s="537"/>
      <c r="L91" s="15"/>
      <c r="M91" s="15"/>
      <c r="N91" s="15"/>
      <c r="O91" s="15"/>
      <c r="P91" s="15"/>
      <c r="Q91" s="527"/>
      <c r="R91" s="15"/>
      <c r="S91" s="15"/>
      <c r="U91" s="58"/>
      <c r="V91" s="58"/>
      <c r="W91" s="58"/>
      <c r="X91" s="58"/>
      <c r="Y91" s="58"/>
      <c r="Z91" s="58"/>
      <c r="AA91" s="58"/>
    </row>
    <row r="92" spans="2:27" x14ac:dyDescent="0.25">
      <c r="B92" s="15"/>
      <c r="C92" s="15"/>
      <c r="D92" s="17"/>
      <c r="E92" s="15"/>
      <c r="F92" s="539"/>
      <c r="G92" s="539"/>
      <c r="H92" s="537"/>
      <c r="I92" s="537"/>
      <c r="J92" s="17"/>
      <c r="K92" s="537"/>
      <c r="L92" s="15"/>
      <c r="M92" s="15"/>
      <c r="N92" s="15"/>
      <c r="O92" s="15"/>
      <c r="P92" s="15"/>
      <c r="Q92" s="15"/>
      <c r="R92" s="15"/>
      <c r="S92" s="15"/>
    </row>
    <row r="93" spans="2:27" x14ac:dyDescent="0.25">
      <c r="B93" s="15"/>
      <c r="C93" s="15"/>
      <c r="D93" s="17"/>
      <c r="E93" s="15"/>
      <c r="F93" s="540"/>
      <c r="G93" s="540"/>
      <c r="H93" s="537"/>
      <c r="I93" s="537"/>
      <c r="J93" s="17"/>
      <c r="K93" s="537"/>
      <c r="L93" s="15"/>
      <c r="M93" s="15"/>
      <c r="N93" s="15"/>
      <c r="O93" s="15"/>
      <c r="P93" s="15"/>
      <c r="Q93" s="15"/>
      <c r="R93" s="15"/>
      <c r="S93" s="15"/>
      <c r="U93" s="58"/>
      <c r="V93" s="365"/>
      <c r="W93" s="365"/>
      <c r="X93" s="58"/>
      <c r="Y93" s="58"/>
      <c r="Z93" s="58"/>
    </row>
    <row r="94" spans="2:27" x14ac:dyDescent="0.25">
      <c r="B94" s="521"/>
      <c r="C94" s="15"/>
      <c r="D94" s="15"/>
      <c r="E94" s="15"/>
      <c r="F94" s="525"/>
      <c r="G94" s="525"/>
      <c r="H94" s="537"/>
      <c r="I94" s="537"/>
      <c r="J94" s="17"/>
      <c r="K94" s="537"/>
      <c r="L94" s="15"/>
      <c r="M94" s="15"/>
      <c r="N94" s="15"/>
      <c r="O94" s="15"/>
      <c r="P94" s="15"/>
      <c r="Q94" s="17"/>
      <c r="R94" s="15"/>
      <c r="S94" s="15"/>
      <c r="T94" s="58"/>
      <c r="U94" s="58"/>
      <c r="V94" s="365"/>
      <c r="W94" s="58"/>
      <c r="X94" s="58"/>
      <c r="Y94" s="58"/>
      <c r="Z94" s="58"/>
    </row>
    <row r="95" spans="2:27" x14ac:dyDescent="0.25">
      <c r="B95" s="521"/>
      <c r="C95" s="541"/>
      <c r="D95" s="530"/>
      <c r="E95" s="542"/>
      <c r="F95" s="520"/>
      <c r="G95" s="520"/>
      <c r="H95" s="15"/>
      <c r="I95" s="15"/>
      <c r="J95" s="15"/>
      <c r="K95" s="15"/>
      <c r="L95" s="15"/>
      <c r="M95" s="15"/>
      <c r="N95" s="155"/>
      <c r="O95" s="155"/>
      <c r="P95" s="156"/>
      <c r="Q95" s="17"/>
      <c r="R95" s="15"/>
      <c r="S95" s="257"/>
      <c r="T95" s="58"/>
      <c r="U95" s="58"/>
      <c r="V95" s="58"/>
      <c r="W95" s="58"/>
      <c r="X95" s="58"/>
      <c r="Y95" s="58"/>
      <c r="Z95" s="58"/>
    </row>
    <row r="96" spans="2:27" x14ac:dyDescent="0.25">
      <c r="B96" s="521"/>
      <c r="C96" s="521"/>
      <c r="D96" s="543"/>
      <c r="E96" s="544"/>
      <c r="F96" s="537"/>
      <c r="G96" s="15"/>
      <c r="H96" s="15"/>
      <c r="I96" s="15"/>
      <c r="J96" s="15"/>
      <c r="K96" s="15"/>
      <c r="L96" s="15"/>
      <c r="M96" s="15"/>
      <c r="N96" s="155"/>
      <c r="O96" s="155"/>
      <c r="P96" s="156"/>
      <c r="Q96" s="258"/>
      <c r="R96" s="15"/>
      <c r="S96" s="257"/>
      <c r="T96" s="58"/>
      <c r="U96" s="364"/>
      <c r="V96" s="58"/>
      <c r="W96" s="58"/>
      <c r="X96" s="58"/>
      <c r="Y96" s="58"/>
      <c r="Z96" s="58"/>
    </row>
    <row r="97" spans="2:26" x14ac:dyDescent="0.25">
      <c r="B97" s="524"/>
      <c r="C97" s="524"/>
      <c r="D97" s="545"/>
      <c r="E97" s="544"/>
      <c r="F97" s="537"/>
      <c r="G97" s="15"/>
      <c r="H97" s="15"/>
      <c r="I97" s="15"/>
      <c r="J97" s="15"/>
      <c r="K97" s="15"/>
      <c r="L97" s="15"/>
      <c r="M97" s="15"/>
      <c r="N97" s="155"/>
      <c r="O97" s="155"/>
      <c r="P97" s="156"/>
      <c r="Q97" s="258"/>
      <c r="R97" s="15"/>
      <c r="S97" s="257"/>
      <c r="T97" s="58"/>
      <c r="U97" s="364"/>
      <c r="V97" s="58"/>
      <c r="W97" s="58"/>
      <c r="X97" s="58"/>
      <c r="Y97" s="58"/>
      <c r="Z97" s="58"/>
    </row>
    <row r="98" spans="2:26" x14ac:dyDescent="0.25">
      <c r="B98" s="524"/>
      <c r="C98" s="524"/>
      <c r="D98" s="545"/>
      <c r="E98" s="156"/>
      <c r="F98" s="537"/>
      <c r="G98" s="15"/>
      <c r="H98" s="257"/>
      <c r="I98" s="15"/>
      <c r="J98" s="15"/>
      <c r="K98" s="15"/>
      <c r="L98" s="15"/>
      <c r="M98" s="15"/>
      <c r="N98" s="155"/>
      <c r="O98" s="155"/>
      <c r="P98" s="156"/>
      <c r="Q98" s="258"/>
      <c r="R98" s="15"/>
      <c r="S98" s="15"/>
      <c r="T98" s="58"/>
      <c r="U98" s="364"/>
      <c r="V98" s="58"/>
      <c r="W98" s="58"/>
      <c r="X98" s="58"/>
      <c r="Y98" s="58"/>
      <c r="Z98" s="58"/>
    </row>
    <row r="99" spans="2:26" x14ac:dyDescent="0.25">
      <c r="B99" s="17"/>
      <c r="C99" s="17"/>
      <c r="D99" s="545"/>
      <c r="E99" s="525"/>
      <c r="F99" s="537"/>
      <c r="G99" s="15"/>
      <c r="H99" s="257"/>
      <c r="I99" s="546"/>
      <c r="J99" s="15"/>
      <c r="K99" s="15"/>
      <c r="L99" s="15"/>
      <c r="M99" s="15"/>
      <c r="N99" s="15"/>
      <c r="O99" s="15"/>
      <c r="P99" s="157"/>
      <c r="Q99" s="17"/>
      <c r="R99" s="15"/>
      <c r="S99" s="15"/>
      <c r="T99" s="58"/>
      <c r="U99" s="364"/>
      <c r="V99" s="58"/>
      <c r="W99" s="58"/>
      <c r="X99" s="58"/>
      <c r="Y99" s="58"/>
      <c r="Z99" s="58"/>
    </row>
    <row r="100" spans="2:26" x14ac:dyDescent="0.25">
      <c r="B100" s="15"/>
      <c r="C100" s="15"/>
      <c r="D100" s="543"/>
      <c r="E100" s="520"/>
      <c r="F100" s="158"/>
      <c r="G100" s="15"/>
      <c r="H100" s="257"/>
      <c r="I100" s="15"/>
      <c r="J100" s="15"/>
      <c r="K100" s="15"/>
      <c r="L100" s="15"/>
      <c r="M100" s="15"/>
      <c r="N100" s="15"/>
      <c r="O100" s="19"/>
      <c r="P100" s="19"/>
      <c r="Q100" s="17"/>
      <c r="R100" s="15"/>
      <c r="S100" s="15"/>
      <c r="T100" s="58"/>
      <c r="U100" s="58"/>
      <c r="V100" s="58"/>
      <c r="W100" s="58"/>
      <c r="X100" s="58"/>
      <c r="Y100" s="58"/>
      <c r="Z100" s="58"/>
    </row>
    <row r="101" spans="2:26" x14ac:dyDescent="0.25">
      <c r="B101" s="15"/>
      <c r="C101" s="15"/>
      <c r="D101" s="547"/>
      <c r="E101" s="548"/>
      <c r="F101" s="549"/>
      <c r="G101" s="549"/>
      <c r="H101" s="548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U101" s="17"/>
      <c r="V101" s="256"/>
      <c r="W101" s="256"/>
      <c r="X101" s="256"/>
      <c r="Y101" s="58"/>
      <c r="Z101" s="58"/>
    </row>
    <row r="102" spans="2:26" ht="19.5" customHeight="1" x14ac:dyDescent="0.25">
      <c r="B102" s="15"/>
      <c r="C102" s="15"/>
      <c r="D102" s="535"/>
      <c r="E102" s="526"/>
      <c r="F102" s="156"/>
      <c r="G102" s="159"/>
      <c r="H102" s="550"/>
      <c r="I102" s="15"/>
      <c r="J102" s="15"/>
      <c r="K102" s="526"/>
      <c r="L102" s="526"/>
      <c r="M102" s="15"/>
      <c r="N102" s="195"/>
      <c r="O102" s="155"/>
      <c r="P102" s="158"/>
      <c r="Q102" s="15"/>
      <c r="R102" s="15"/>
      <c r="S102" s="15"/>
      <c r="U102" s="17"/>
      <c r="V102" s="511"/>
      <c r="W102" s="511"/>
      <c r="X102" s="512"/>
      <c r="Y102" s="365"/>
      <c r="Z102" s="58"/>
    </row>
    <row r="103" spans="2:26" ht="19.5" customHeight="1" x14ac:dyDescent="0.25">
      <c r="B103" s="15"/>
      <c r="C103" s="15"/>
      <c r="D103" s="551"/>
      <c r="E103" s="156"/>
      <c r="F103" s="156"/>
      <c r="G103" s="552"/>
      <c r="H103" s="550"/>
      <c r="I103" s="15"/>
      <c r="J103" s="15"/>
      <c r="K103" s="526"/>
      <c r="L103" s="526"/>
      <c r="M103" s="15"/>
      <c r="N103" s="195"/>
      <c r="O103" s="15"/>
      <c r="P103" s="17"/>
      <c r="Q103" s="15"/>
      <c r="R103" s="15"/>
      <c r="S103" s="15"/>
      <c r="U103" s="258"/>
      <c r="V103" s="257"/>
      <c r="W103" s="257"/>
      <c r="X103" s="513"/>
      <c r="Y103" s="365"/>
      <c r="Z103" s="58"/>
    </row>
    <row r="104" spans="2:26" x14ac:dyDescent="0.25">
      <c r="B104" s="15"/>
      <c r="C104" s="15"/>
      <c r="D104" s="553"/>
      <c r="E104" s="156"/>
      <c r="F104" s="156"/>
      <c r="G104" s="526"/>
      <c r="H104" s="550"/>
      <c r="I104" s="15"/>
      <c r="J104" s="15"/>
      <c r="K104" s="526"/>
      <c r="L104" s="526"/>
      <c r="M104" s="15"/>
      <c r="N104" s="195"/>
      <c r="O104" s="160"/>
      <c r="P104" s="159"/>
      <c r="Q104" s="15"/>
      <c r="R104" s="15"/>
      <c r="S104" s="15"/>
      <c r="U104" s="258"/>
      <c r="V104" s="511"/>
      <c r="W104" s="511"/>
      <c r="X104" s="513"/>
      <c r="Y104" s="365"/>
      <c r="Z104" s="58"/>
    </row>
    <row r="105" spans="2:26" x14ac:dyDescent="0.25">
      <c r="B105" s="15"/>
      <c r="C105" s="15"/>
      <c r="D105" s="554"/>
      <c r="E105" s="156"/>
      <c r="F105" s="156"/>
      <c r="G105" s="156"/>
      <c r="H105" s="550"/>
      <c r="I105" s="15"/>
      <c r="J105" s="15"/>
      <c r="K105" s="526"/>
      <c r="L105" s="526"/>
      <c r="M105" s="15"/>
      <c r="N105" s="195"/>
      <c r="O105" s="160"/>
      <c r="P105" s="159"/>
      <c r="Q105" s="15"/>
      <c r="R105" s="15"/>
      <c r="S105" s="15"/>
      <c r="U105" s="258"/>
      <c r="V105" s="511"/>
      <c r="W105" s="511"/>
      <c r="X105" s="513"/>
      <c r="Y105" s="365"/>
      <c r="Z105" s="58"/>
    </row>
    <row r="106" spans="2:26" ht="25.5" customHeight="1" x14ac:dyDescent="0.25">
      <c r="B106" s="15"/>
      <c r="C106" s="15"/>
      <c r="D106" s="555"/>
      <c r="E106" s="156"/>
      <c r="F106" s="156"/>
      <c r="G106" s="526"/>
      <c r="H106" s="550"/>
      <c r="I106" s="15"/>
      <c r="J106" s="15"/>
      <c r="K106" s="526"/>
      <c r="L106" s="526"/>
      <c r="M106" s="15"/>
      <c r="N106" s="195"/>
      <c r="O106" s="160"/>
      <c r="P106" s="159"/>
      <c r="Q106" s="15"/>
      <c r="R106" s="15"/>
      <c r="S106" s="15"/>
      <c r="U106" s="258"/>
      <c r="V106" s="514"/>
      <c r="W106" s="514"/>
      <c r="X106" s="515"/>
      <c r="Y106" s="365"/>
      <c r="Z106" s="58"/>
    </row>
    <row r="107" spans="2:26" ht="16.5" customHeight="1" x14ac:dyDescent="0.25">
      <c r="B107" s="15"/>
      <c r="C107" s="15"/>
      <c r="D107" s="555"/>
      <c r="E107" s="156"/>
      <c r="F107" s="156"/>
      <c r="G107" s="526"/>
      <c r="H107" s="550"/>
      <c r="I107" s="15"/>
      <c r="J107" s="15"/>
      <c r="K107" s="526"/>
      <c r="L107" s="526"/>
      <c r="M107" s="15"/>
      <c r="N107" s="195"/>
      <c r="O107" s="160"/>
      <c r="P107" s="159"/>
      <c r="Q107" s="15"/>
      <c r="R107" s="15"/>
      <c r="S107" s="15"/>
      <c r="U107" s="424"/>
      <c r="V107" s="516"/>
      <c r="W107" s="516"/>
      <c r="X107" s="515"/>
      <c r="Y107" s="58"/>
      <c r="Z107" s="58"/>
    </row>
    <row r="108" spans="2:26" x14ac:dyDescent="0.25">
      <c r="B108" s="15"/>
      <c r="C108" s="15"/>
      <c r="D108" s="155"/>
      <c r="E108" s="526"/>
      <c r="F108" s="526"/>
      <c r="G108" s="526"/>
      <c r="H108" s="550"/>
      <c r="I108" s="17"/>
      <c r="J108" s="19"/>
      <c r="K108" s="526"/>
      <c r="L108" s="526"/>
      <c r="M108" s="159"/>
      <c r="N108" s="195"/>
      <c r="O108" s="160"/>
      <c r="P108" s="159"/>
      <c r="Q108" s="15"/>
      <c r="R108" s="15"/>
      <c r="S108" s="15"/>
      <c r="U108" s="424"/>
      <c r="V108" s="516"/>
      <c r="W108" s="516"/>
      <c r="X108" s="517"/>
      <c r="Y108" s="58"/>
      <c r="Z108" s="58"/>
    </row>
    <row r="109" spans="2:26" x14ac:dyDescent="0.25">
      <c r="B109" s="15"/>
      <c r="C109" s="15"/>
      <c r="D109" s="155"/>
      <c r="E109" s="526"/>
      <c r="F109" s="526"/>
      <c r="G109" s="526"/>
      <c r="H109" s="550"/>
      <c r="I109" s="17"/>
      <c r="J109" s="15"/>
      <c r="K109" s="526"/>
      <c r="L109" s="526"/>
      <c r="M109" s="159"/>
      <c r="N109" s="195"/>
      <c r="O109" s="160"/>
      <c r="P109" s="159"/>
      <c r="Q109" s="15"/>
      <c r="R109" s="15"/>
      <c r="S109" s="15"/>
      <c r="U109" s="424"/>
      <c r="V109" s="518"/>
      <c r="W109" s="518"/>
      <c r="X109" s="517"/>
      <c r="Y109" s="58"/>
      <c r="Z109" s="58"/>
    </row>
    <row r="110" spans="2:26" x14ac:dyDescent="0.25">
      <c r="B110" s="15"/>
      <c r="C110" s="15"/>
      <c r="D110" s="155"/>
      <c r="E110" s="526"/>
      <c r="F110" s="526"/>
      <c r="G110" s="526"/>
      <c r="H110" s="550"/>
      <c r="I110" s="17"/>
      <c r="J110" s="15"/>
      <c r="K110" s="526"/>
      <c r="L110" s="526"/>
      <c r="M110" s="159"/>
      <c r="N110" s="195"/>
      <c r="O110" s="160"/>
      <c r="P110" s="159"/>
      <c r="Q110" s="15"/>
      <c r="R110" s="15"/>
      <c r="S110" s="15"/>
      <c r="U110" s="424"/>
      <c r="V110" s="516"/>
      <c r="W110" s="516"/>
      <c r="X110" s="517"/>
      <c r="Y110" s="58"/>
      <c r="Z110" s="58"/>
    </row>
    <row r="111" spans="2:26" x14ac:dyDescent="0.25">
      <c r="B111" s="15"/>
      <c r="C111" s="15"/>
      <c r="D111" s="159"/>
      <c r="E111" s="159"/>
      <c r="F111" s="159"/>
      <c r="G111" s="526"/>
      <c r="H111" s="550"/>
      <c r="I111" s="17"/>
      <c r="J111" s="15"/>
      <c r="K111" s="526"/>
      <c r="L111" s="524"/>
      <c r="M111" s="159"/>
      <c r="N111" s="195"/>
      <c r="O111" s="160"/>
      <c r="P111" s="159"/>
      <c r="Q111" s="15"/>
      <c r="R111" s="15"/>
      <c r="S111" s="15"/>
      <c r="U111" s="17"/>
      <c r="V111" s="257"/>
      <c r="W111" s="257"/>
      <c r="X111" s="513"/>
      <c r="Y111" s="58"/>
      <c r="Z111" s="58"/>
    </row>
    <row r="112" spans="2:26" x14ac:dyDescent="0.25">
      <c r="B112" s="15"/>
      <c r="C112" s="15"/>
      <c r="D112" s="556"/>
      <c r="E112" s="557"/>
      <c r="F112" s="557"/>
      <c r="G112" s="557"/>
      <c r="H112" s="557"/>
      <c r="I112" s="15"/>
      <c r="J112" s="15"/>
      <c r="K112" s="19"/>
      <c r="L112" s="15"/>
      <c r="M112" s="15"/>
      <c r="N112" s="155"/>
      <c r="O112" s="160"/>
      <c r="P112" s="159"/>
      <c r="Q112" s="15"/>
      <c r="R112" s="15"/>
      <c r="S112" s="15"/>
      <c r="U112" s="17"/>
      <c r="V112" s="257"/>
      <c r="W112" s="257"/>
      <c r="X112" s="513"/>
      <c r="Y112" s="58"/>
      <c r="Z112" s="58"/>
    </row>
    <row r="113" spans="2:27" x14ac:dyDescent="0.25">
      <c r="B113" s="15"/>
      <c r="C113" s="15"/>
      <c r="D113" s="556"/>
      <c r="E113" s="557"/>
      <c r="F113" s="557"/>
      <c r="G113" s="557"/>
      <c r="H113" s="557"/>
      <c r="I113" s="15"/>
      <c r="J113" s="15"/>
      <c r="K113" s="15"/>
      <c r="L113" s="15"/>
      <c r="M113" s="15"/>
      <c r="N113" s="155"/>
      <c r="O113" s="160"/>
      <c r="P113" s="159"/>
      <c r="Q113" s="15"/>
      <c r="R113" s="15"/>
      <c r="S113" s="15"/>
      <c r="U113" s="17"/>
      <c r="V113" s="257"/>
      <c r="W113" s="257"/>
      <c r="X113" s="513"/>
      <c r="Y113" s="365"/>
      <c r="Z113" s="58"/>
    </row>
    <row r="114" spans="2:27" x14ac:dyDescent="0.25">
      <c r="B114" s="15"/>
      <c r="C114" s="15"/>
      <c r="D114" s="533"/>
      <c r="E114" s="557"/>
      <c r="F114" s="545"/>
      <c r="G114" s="545"/>
      <c r="H114" s="545"/>
      <c r="I114" s="15"/>
      <c r="J114" s="15"/>
      <c r="K114" s="15"/>
      <c r="L114" s="15"/>
      <c r="M114" s="15"/>
      <c r="N114" s="15"/>
      <c r="O114" s="161"/>
      <c r="P114" s="156"/>
      <c r="Q114" s="15"/>
      <c r="R114" s="15"/>
      <c r="S114" s="15"/>
      <c r="U114" s="17"/>
      <c r="V114" s="159"/>
      <c r="W114" s="159"/>
      <c r="X114" s="519"/>
      <c r="Y114" s="15"/>
      <c r="Z114" s="15"/>
      <c r="AA114" s="493"/>
    </row>
    <row r="115" spans="2:27" x14ac:dyDescent="0.25">
      <c r="B115" s="15"/>
      <c r="C115" s="15"/>
      <c r="D115" s="155"/>
      <c r="E115" s="542"/>
      <c r="F115" s="558"/>
      <c r="G115" s="542"/>
      <c r="H115" s="542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58"/>
      <c r="U115" s="15"/>
      <c r="V115" s="514"/>
      <c r="W115" s="514"/>
      <c r="X115" s="569"/>
      <c r="Y115" s="19"/>
      <c r="Z115" s="15"/>
      <c r="AA115" s="493"/>
    </row>
    <row r="116" spans="2:27" x14ac:dyDescent="0.25">
      <c r="B116" s="15"/>
      <c r="C116" s="15"/>
      <c r="D116" s="535"/>
      <c r="E116" s="526"/>
      <c r="F116" s="526"/>
      <c r="G116" s="156"/>
      <c r="H116" s="559"/>
      <c r="I116" s="15"/>
      <c r="J116" s="15"/>
      <c r="K116" s="17"/>
      <c r="L116" s="15"/>
      <c r="M116" s="560"/>
      <c r="N116" s="15"/>
      <c r="O116" s="543"/>
      <c r="P116" s="15"/>
      <c r="Q116" s="15"/>
      <c r="R116" s="15"/>
      <c r="S116" s="15"/>
      <c r="T116" s="58"/>
      <c r="U116" s="158"/>
      <c r="V116" s="552"/>
      <c r="W116" s="552"/>
      <c r="X116" s="570"/>
      <c r="Y116" s="19"/>
      <c r="Z116" s="15"/>
      <c r="AA116" s="493"/>
    </row>
    <row r="117" spans="2:27" x14ac:dyDescent="0.25">
      <c r="B117" s="15"/>
      <c r="C117" s="15"/>
      <c r="D117" s="551"/>
      <c r="E117" s="156"/>
      <c r="F117" s="156"/>
      <c r="G117" s="156"/>
      <c r="H117" s="550"/>
      <c r="I117" s="15"/>
      <c r="J117" s="15"/>
      <c r="K117" s="15"/>
      <c r="L117" s="15"/>
      <c r="M117" s="561"/>
      <c r="N117" s="15"/>
      <c r="O117" s="543"/>
      <c r="P117" s="15"/>
      <c r="Q117" s="15"/>
      <c r="R117" s="15"/>
      <c r="S117" s="15"/>
      <c r="T117" s="58"/>
      <c r="U117" s="15"/>
      <c r="V117" s="15"/>
      <c r="W117" s="15"/>
      <c r="X117" s="15"/>
      <c r="Y117" s="15"/>
      <c r="Z117" s="15"/>
      <c r="AA117" s="493"/>
    </row>
    <row r="118" spans="2:27" x14ac:dyDescent="0.25">
      <c r="B118" s="15"/>
      <c r="C118" s="15"/>
      <c r="D118" s="562"/>
      <c r="E118" s="156"/>
      <c r="F118" s="156"/>
      <c r="G118" s="156"/>
      <c r="H118" s="550"/>
      <c r="I118" s="15"/>
      <c r="J118" s="15"/>
      <c r="K118" s="15"/>
      <c r="L118" s="15"/>
      <c r="M118" s="159"/>
      <c r="N118" s="15"/>
      <c r="O118" s="543"/>
      <c r="P118" s="15"/>
      <c r="Q118" s="15"/>
      <c r="R118" s="15"/>
      <c r="S118" s="15"/>
      <c r="T118" s="58"/>
      <c r="U118" s="15"/>
      <c r="V118" s="15"/>
      <c r="W118" s="15"/>
      <c r="X118" s="15"/>
      <c r="Y118" s="15"/>
      <c r="Z118" s="15"/>
      <c r="AA118" s="493"/>
    </row>
    <row r="119" spans="2:27" x14ac:dyDescent="0.25">
      <c r="B119" s="15"/>
      <c r="C119" s="15"/>
      <c r="D119" s="553"/>
      <c r="E119" s="156"/>
      <c r="F119" s="156"/>
      <c r="G119" s="156"/>
      <c r="H119" s="550"/>
      <c r="I119" s="15"/>
      <c r="J119" s="15"/>
      <c r="K119" s="15"/>
      <c r="L119" s="15"/>
      <c r="M119" s="563"/>
      <c r="N119" s="17"/>
      <c r="O119" s="543"/>
      <c r="P119" s="15"/>
      <c r="Q119" s="15"/>
      <c r="R119" s="15"/>
      <c r="S119" s="15"/>
      <c r="T119" s="58"/>
      <c r="U119" s="15"/>
      <c r="V119" s="15"/>
      <c r="W119" s="15"/>
      <c r="X119" s="15"/>
      <c r="Y119" s="15"/>
      <c r="Z119" s="15"/>
      <c r="AA119" s="493"/>
    </row>
    <row r="120" spans="2:27" x14ac:dyDescent="0.25">
      <c r="B120" s="15"/>
      <c r="C120" s="15"/>
      <c r="D120" s="549"/>
      <c r="E120" s="526"/>
      <c r="F120" s="526"/>
      <c r="G120" s="526"/>
      <c r="H120" s="550"/>
      <c r="I120" s="17"/>
      <c r="J120" s="15"/>
      <c r="K120" s="17"/>
      <c r="L120" s="17"/>
      <c r="M120" s="552"/>
      <c r="N120" s="15"/>
      <c r="O120" s="543"/>
      <c r="P120" s="15"/>
      <c r="Q120" s="15"/>
      <c r="R120" s="15"/>
      <c r="S120" s="15"/>
      <c r="T120" s="58"/>
      <c r="U120" s="15"/>
      <c r="V120" s="15"/>
      <c r="W120" s="15"/>
      <c r="X120" s="15"/>
      <c r="Y120" s="15"/>
      <c r="Z120" s="15"/>
      <c r="AA120" s="493"/>
    </row>
    <row r="121" spans="2:27" x14ac:dyDescent="0.25">
      <c r="B121" s="15"/>
      <c r="C121" s="15"/>
      <c r="D121" s="564"/>
      <c r="E121" s="526"/>
      <c r="F121" s="526"/>
      <c r="G121" s="526"/>
      <c r="H121" s="565"/>
      <c r="I121" s="17"/>
      <c r="J121" s="15"/>
      <c r="K121" s="15"/>
      <c r="L121" s="15"/>
      <c r="M121" s="561"/>
      <c r="N121" s="15"/>
      <c r="O121" s="543"/>
      <c r="P121" s="15"/>
      <c r="Q121" s="15"/>
      <c r="R121" s="15"/>
      <c r="S121" s="15"/>
      <c r="T121" s="58"/>
      <c r="U121" s="15"/>
      <c r="V121" s="15"/>
      <c r="W121" s="15"/>
      <c r="X121" s="15"/>
      <c r="Y121" s="15"/>
      <c r="Z121" s="15"/>
      <c r="AA121" s="493"/>
    </row>
    <row r="122" spans="2:27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9"/>
      <c r="N122" s="17"/>
      <c r="O122" s="543"/>
      <c r="P122" s="15"/>
      <c r="Q122" s="15"/>
      <c r="R122" s="15"/>
      <c r="S122" s="15"/>
      <c r="T122" s="58"/>
      <c r="U122" s="15"/>
      <c r="V122" s="15"/>
      <c r="W122" s="15"/>
      <c r="X122" s="15"/>
      <c r="Y122" s="15"/>
      <c r="Z122" s="15"/>
      <c r="AA122" s="493"/>
    </row>
    <row r="123" spans="2:27" x14ac:dyDescent="0.25">
      <c r="B123" s="17"/>
      <c r="C123" s="15"/>
      <c r="D123" s="535"/>
      <c r="E123" s="17"/>
      <c r="F123" s="520"/>
      <c r="G123" s="529"/>
      <c r="H123" s="15"/>
      <c r="I123" s="15"/>
      <c r="J123" s="15"/>
      <c r="K123" s="15"/>
      <c r="L123" s="15"/>
      <c r="M123" s="15"/>
      <c r="N123" s="17"/>
      <c r="O123" s="15"/>
      <c r="P123" s="15"/>
      <c r="Q123" s="15"/>
      <c r="R123" s="15"/>
      <c r="S123" s="15"/>
      <c r="T123" s="58"/>
      <c r="U123" s="58"/>
      <c r="V123" s="58"/>
      <c r="W123" s="58"/>
      <c r="X123" s="58"/>
      <c r="Y123" s="58"/>
      <c r="Z123" s="58"/>
    </row>
    <row r="124" spans="2:27" x14ac:dyDescent="0.25">
      <c r="B124" s="15"/>
      <c r="C124" s="15"/>
      <c r="D124" s="551"/>
      <c r="E124" s="17"/>
      <c r="F124" s="520"/>
      <c r="G124" s="529"/>
      <c r="H124" s="15"/>
      <c r="I124" s="15"/>
      <c r="J124" s="15"/>
      <c r="K124" s="15"/>
      <c r="L124" s="15"/>
      <c r="M124" s="526"/>
      <c r="N124" s="15"/>
      <c r="O124" s="15"/>
      <c r="P124" s="15"/>
      <c r="Q124" s="15"/>
      <c r="R124" s="15"/>
      <c r="S124" s="15"/>
      <c r="U124" s="58"/>
      <c r="V124" s="58"/>
      <c r="W124" s="58"/>
      <c r="X124" s="58"/>
      <c r="Y124" s="58"/>
      <c r="Z124" s="58"/>
    </row>
    <row r="125" spans="2:27" x14ac:dyDescent="0.25">
      <c r="B125" s="15"/>
      <c r="C125" s="15"/>
      <c r="D125" s="15"/>
      <c r="E125" s="424"/>
      <c r="F125" s="566"/>
      <c r="G125" s="15"/>
      <c r="H125" s="15"/>
      <c r="I125" s="19"/>
      <c r="J125" s="15"/>
      <c r="K125" s="15"/>
      <c r="L125" s="15"/>
      <c r="M125" s="520"/>
      <c r="N125" s="257"/>
      <c r="O125" s="526"/>
      <c r="P125" s="17"/>
      <c r="Q125" s="15"/>
      <c r="R125" s="15"/>
      <c r="S125" s="15"/>
    </row>
    <row r="126" spans="2:27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2:27" ht="15.75" x14ac:dyDescent="0.25">
      <c r="B127" s="15"/>
      <c r="C127" s="15"/>
      <c r="D127" s="15"/>
      <c r="E127" s="567"/>
      <c r="F127" s="568"/>
      <c r="G127" s="15"/>
      <c r="H127" s="15"/>
      <c r="I127" s="15"/>
      <c r="J127" s="15"/>
      <c r="K127" s="15"/>
      <c r="L127" s="15"/>
      <c r="M127" s="257"/>
      <c r="N127" s="15"/>
      <c r="O127" s="15"/>
      <c r="P127" s="15"/>
      <c r="Q127" s="15"/>
      <c r="R127" s="15"/>
      <c r="S127" s="15"/>
    </row>
    <row r="128" spans="2:27" x14ac:dyDescent="0.25">
      <c r="B128" s="15"/>
      <c r="C128" s="17"/>
      <c r="D128" s="15"/>
      <c r="E128" s="15"/>
      <c r="F128" s="15"/>
      <c r="G128" s="15"/>
      <c r="H128" s="15"/>
      <c r="I128" s="17"/>
      <c r="J128" s="159"/>
      <c r="K128" s="15"/>
      <c r="L128" s="15"/>
      <c r="M128" s="257"/>
      <c r="N128" s="15"/>
      <c r="O128" s="15"/>
      <c r="P128" s="15"/>
      <c r="Q128" s="15"/>
      <c r="R128" s="15"/>
      <c r="S128" s="15"/>
    </row>
    <row r="129" spans="2:19" x14ac:dyDescent="0.25">
      <c r="B129" s="15"/>
      <c r="C129" s="17"/>
      <c r="D129" s="15"/>
      <c r="E129" s="15"/>
      <c r="F129" s="15"/>
      <c r="G129" s="15"/>
      <c r="H129" s="15"/>
      <c r="I129" s="15"/>
      <c r="J129" s="15"/>
      <c r="K129" s="15"/>
      <c r="L129" s="15"/>
      <c r="M129" s="530"/>
      <c r="N129" s="15"/>
      <c r="O129" s="15"/>
      <c r="P129" s="15"/>
      <c r="Q129" s="15"/>
      <c r="R129" s="15"/>
      <c r="S129" s="15"/>
    </row>
    <row r="130" spans="2:19" x14ac:dyDescent="0.25">
      <c r="M130" s="209">
        <f>M116+M117+M118+M120+M121+E116+E117</f>
        <v>0</v>
      </c>
    </row>
  </sheetData>
  <mergeCells count="76">
    <mergeCell ref="B67:C67"/>
    <mergeCell ref="B68:C68"/>
    <mergeCell ref="B59:C59"/>
    <mergeCell ref="B60:C60"/>
    <mergeCell ref="B62:C62"/>
    <mergeCell ref="B63:C63"/>
    <mergeCell ref="B64:C64"/>
    <mergeCell ref="B66:C66"/>
    <mergeCell ref="B58:C58"/>
    <mergeCell ref="B43:C43"/>
    <mergeCell ref="B44:C44"/>
    <mergeCell ref="B46:C46"/>
    <mergeCell ref="B47:C47"/>
    <mergeCell ref="B48:C48"/>
    <mergeCell ref="B50:C50"/>
    <mergeCell ref="B51:C51"/>
    <mergeCell ref="B52:C52"/>
    <mergeCell ref="B54:C54"/>
    <mergeCell ref="B55:C55"/>
    <mergeCell ref="B56:C56"/>
    <mergeCell ref="B42:C42"/>
    <mergeCell ref="B27:C27"/>
    <mergeCell ref="B28:C28"/>
    <mergeCell ref="B30:C30"/>
    <mergeCell ref="B31:C31"/>
    <mergeCell ref="B32:C32"/>
    <mergeCell ref="B34:C34"/>
    <mergeCell ref="B35:C35"/>
    <mergeCell ref="B36:C36"/>
    <mergeCell ref="B38:C38"/>
    <mergeCell ref="B39:C39"/>
    <mergeCell ref="B40:C40"/>
    <mergeCell ref="B26:C26"/>
    <mergeCell ref="O11:O12"/>
    <mergeCell ref="Q11:Q12"/>
    <mergeCell ref="R11:R12"/>
    <mergeCell ref="B13:C13"/>
    <mergeCell ref="B15:C15"/>
    <mergeCell ref="B16:C16"/>
    <mergeCell ref="B19:C19"/>
    <mergeCell ref="B20:C20"/>
    <mergeCell ref="B22:C22"/>
    <mergeCell ref="B23:C23"/>
    <mergeCell ref="B24:C24"/>
    <mergeCell ref="J10:L10"/>
    <mergeCell ref="M10:O10"/>
    <mergeCell ref="B11:C11"/>
    <mergeCell ref="E11:E12"/>
    <mergeCell ref="F11:F12"/>
    <mergeCell ref="H11:H12"/>
    <mergeCell ref="I11:I12"/>
    <mergeCell ref="K11:K12"/>
    <mergeCell ref="L11:L12"/>
    <mergeCell ref="N11:N12"/>
    <mergeCell ref="J8:L8"/>
    <mergeCell ref="M8:O8"/>
    <mergeCell ref="P8:R8"/>
    <mergeCell ref="J9:L9"/>
    <mergeCell ref="M9:O9"/>
    <mergeCell ref="P9:R9"/>
    <mergeCell ref="D2:Q2"/>
    <mergeCell ref="G3:N3"/>
    <mergeCell ref="R4:T4"/>
    <mergeCell ref="A5:A10"/>
    <mergeCell ref="B5:C10"/>
    <mergeCell ref="D5:F10"/>
    <mergeCell ref="G5:I10"/>
    <mergeCell ref="J5:L5"/>
    <mergeCell ref="M5:O5"/>
    <mergeCell ref="P5:R5"/>
    <mergeCell ref="J6:L6"/>
    <mergeCell ref="M6:O6"/>
    <mergeCell ref="P6:R6"/>
    <mergeCell ref="J7:L7"/>
    <mergeCell ref="M7:O7"/>
    <mergeCell ref="P7:R7"/>
  </mergeCells>
  <pageMargins left="0" right="0" top="0" bottom="0" header="0" footer="0"/>
  <pageSetup paperSize="9" scale="7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5"/>
  <sheetViews>
    <sheetView tabSelected="1" zoomScaleNormal="100" workbookViewId="0">
      <selection activeCell="R1" sqref="R1"/>
    </sheetView>
  </sheetViews>
  <sheetFormatPr defaultRowHeight="15" x14ac:dyDescent="0.25"/>
  <cols>
    <col min="1" max="1" width="4.28515625" customWidth="1"/>
    <col min="2" max="2" width="13.5703125" bestFit="1" customWidth="1"/>
    <col min="3" max="3" width="11.85546875" customWidth="1"/>
    <col min="4" max="4" width="10.5703125" customWidth="1"/>
    <col min="5" max="5" width="13.140625" customWidth="1"/>
    <col min="6" max="6" width="12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9.8554687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19" max="19" width="12.42578125" bestFit="1" customWidth="1"/>
    <col min="20" max="20" width="6.42578125" customWidth="1"/>
    <col min="21" max="21" width="14" customWidth="1"/>
    <col min="22" max="22" width="12.7109375" customWidth="1"/>
    <col min="23" max="23" width="12.28515625" customWidth="1"/>
    <col min="24" max="24" width="14.42578125" customWidth="1"/>
    <col min="25" max="25" width="10.42578125" customWidth="1"/>
    <col min="26" max="26" width="12.42578125" customWidth="1"/>
    <col min="27" max="27" width="10.42578125" customWidth="1"/>
  </cols>
  <sheetData>
    <row r="1" spans="1:27" x14ac:dyDescent="0.25">
      <c r="R1" s="26" t="s">
        <v>165</v>
      </c>
      <c r="S1" s="26"/>
    </row>
    <row r="2" spans="1:27" ht="18.75" x14ac:dyDescent="0.25">
      <c r="D2" s="736" t="s">
        <v>152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</row>
    <row r="3" spans="1:27" ht="19.5" customHeight="1" x14ac:dyDescent="0.25">
      <c r="F3" s="62"/>
      <c r="G3" s="736" t="s">
        <v>151</v>
      </c>
      <c r="H3" s="737"/>
      <c r="I3" s="737"/>
      <c r="J3" s="737"/>
      <c r="K3" s="737"/>
      <c r="L3" s="737"/>
      <c r="M3" s="737"/>
      <c r="N3" s="737"/>
      <c r="O3" s="62"/>
      <c r="P3" s="62"/>
    </row>
    <row r="4" spans="1:27" ht="12" customHeight="1" thickBot="1" x14ac:dyDescent="0.3">
      <c r="D4" s="18"/>
      <c r="E4" s="19"/>
      <c r="F4" s="19"/>
      <c r="G4" s="15"/>
      <c r="H4" s="19"/>
      <c r="I4" s="15"/>
      <c r="R4" s="739" t="s">
        <v>128</v>
      </c>
      <c r="S4" s="739"/>
      <c r="T4" s="739"/>
    </row>
    <row r="5" spans="1:27" ht="15" customHeight="1" x14ac:dyDescent="0.25">
      <c r="A5" s="782" t="s">
        <v>28</v>
      </c>
      <c r="B5" s="785" t="s">
        <v>29</v>
      </c>
      <c r="C5" s="786"/>
      <c r="D5" s="791" t="s">
        <v>2</v>
      </c>
      <c r="E5" s="785"/>
      <c r="F5" s="786"/>
      <c r="G5" s="785" t="s">
        <v>3</v>
      </c>
      <c r="H5" s="785"/>
      <c r="I5" s="786"/>
      <c r="J5" s="794"/>
      <c r="K5" s="795"/>
      <c r="L5" s="796"/>
      <c r="M5" s="791"/>
      <c r="N5" s="785"/>
      <c r="O5" s="785"/>
      <c r="P5" s="791"/>
      <c r="Q5" s="785"/>
      <c r="R5" s="786"/>
      <c r="S5" s="663"/>
      <c r="T5" s="664"/>
    </row>
    <row r="6" spans="1:27" ht="15" customHeight="1" x14ac:dyDescent="0.25">
      <c r="A6" s="783"/>
      <c r="B6" s="787"/>
      <c r="C6" s="788"/>
      <c r="D6" s="792"/>
      <c r="E6" s="787"/>
      <c r="F6" s="788"/>
      <c r="G6" s="787"/>
      <c r="H6" s="787"/>
      <c r="I6" s="788"/>
      <c r="J6" s="792"/>
      <c r="K6" s="787"/>
      <c r="L6" s="788"/>
      <c r="M6" s="792"/>
      <c r="N6" s="787"/>
      <c r="O6" s="787"/>
      <c r="P6" s="792"/>
      <c r="Q6" s="787"/>
      <c r="R6" s="788"/>
      <c r="S6" s="665"/>
      <c r="T6" s="666"/>
    </row>
    <row r="7" spans="1:27" x14ac:dyDescent="0.25">
      <c r="A7" s="783"/>
      <c r="B7" s="787"/>
      <c r="C7" s="788"/>
      <c r="D7" s="792"/>
      <c r="E7" s="787"/>
      <c r="F7" s="788"/>
      <c r="G7" s="787"/>
      <c r="H7" s="787"/>
      <c r="I7" s="788"/>
      <c r="J7" s="792"/>
      <c r="K7" s="787"/>
      <c r="L7" s="788"/>
      <c r="M7" s="792"/>
      <c r="N7" s="787"/>
      <c r="O7" s="787"/>
      <c r="P7" s="792"/>
      <c r="Q7" s="787"/>
      <c r="R7" s="788"/>
      <c r="S7" s="665"/>
      <c r="T7" s="666"/>
    </row>
    <row r="8" spans="1:27" ht="15" customHeight="1" x14ac:dyDescent="0.25">
      <c r="A8" s="783"/>
      <c r="B8" s="787"/>
      <c r="C8" s="788"/>
      <c r="D8" s="792"/>
      <c r="E8" s="787"/>
      <c r="F8" s="788"/>
      <c r="G8" s="787"/>
      <c r="H8" s="787"/>
      <c r="I8" s="788"/>
      <c r="J8" s="792" t="s">
        <v>150</v>
      </c>
      <c r="K8" s="787"/>
      <c r="L8" s="787"/>
      <c r="M8" s="792" t="s">
        <v>0</v>
      </c>
      <c r="N8" s="787"/>
      <c r="O8" s="788"/>
      <c r="P8" s="792" t="s">
        <v>5</v>
      </c>
      <c r="Q8" s="787"/>
      <c r="R8" s="788"/>
      <c r="S8" s="665"/>
      <c r="T8" s="666"/>
    </row>
    <row r="9" spans="1:27" x14ac:dyDescent="0.25">
      <c r="A9" s="783"/>
      <c r="B9" s="787"/>
      <c r="C9" s="788"/>
      <c r="D9" s="792"/>
      <c r="E9" s="787"/>
      <c r="F9" s="788"/>
      <c r="G9" s="787"/>
      <c r="H9" s="787"/>
      <c r="I9" s="788"/>
      <c r="J9" s="797"/>
      <c r="K9" s="798"/>
      <c r="L9" s="799"/>
      <c r="M9" s="800"/>
      <c r="N9" s="801"/>
      <c r="O9" s="802"/>
      <c r="P9" s="800"/>
      <c r="Q9" s="801"/>
      <c r="R9" s="802"/>
      <c r="S9" s="665"/>
      <c r="T9" s="666"/>
    </row>
    <row r="10" spans="1:27" ht="15.75" thickBot="1" x14ac:dyDescent="0.3">
      <c r="A10" s="784"/>
      <c r="B10" s="789"/>
      <c r="C10" s="790"/>
      <c r="D10" s="793"/>
      <c r="E10" s="789"/>
      <c r="F10" s="790"/>
      <c r="G10" s="789"/>
      <c r="H10" s="789"/>
      <c r="I10" s="790"/>
      <c r="J10" s="803"/>
      <c r="K10" s="804"/>
      <c r="L10" s="805"/>
      <c r="M10" s="803"/>
      <c r="N10" s="804"/>
      <c r="O10" s="804"/>
      <c r="P10" s="667"/>
      <c r="Q10" s="668"/>
      <c r="R10" s="669"/>
      <c r="S10" s="670"/>
      <c r="T10" s="671"/>
      <c r="U10" s="27"/>
      <c r="V10" s="27"/>
    </row>
    <row r="11" spans="1:27" ht="72" customHeight="1" thickBot="1" x14ac:dyDescent="0.3">
      <c r="A11" s="672"/>
      <c r="B11" s="785" t="s">
        <v>30</v>
      </c>
      <c r="C11" s="786"/>
      <c r="D11" s="673" t="s">
        <v>37</v>
      </c>
      <c r="E11" s="806" t="s">
        <v>9</v>
      </c>
      <c r="F11" s="808" t="s">
        <v>39</v>
      </c>
      <c r="G11" s="673" t="s">
        <v>38</v>
      </c>
      <c r="H11" s="806" t="s">
        <v>9</v>
      </c>
      <c r="I11" s="808" t="s">
        <v>39</v>
      </c>
      <c r="J11" s="673" t="s">
        <v>38</v>
      </c>
      <c r="K11" s="806" t="s">
        <v>11</v>
      </c>
      <c r="L11" s="808" t="s">
        <v>39</v>
      </c>
      <c r="M11" s="673" t="s">
        <v>38</v>
      </c>
      <c r="N11" s="806" t="s">
        <v>9</v>
      </c>
      <c r="O11" s="808" t="s">
        <v>39</v>
      </c>
      <c r="P11" s="673" t="s">
        <v>38</v>
      </c>
      <c r="Q11" s="806" t="s">
        <v>9</v>
      </c>
      <c r="R11" s="808" t="s">
        <v>39</v>
      </c>
      <c r="S11" s="674" t="s">
        <v>17</v>
      </c>
      <c r="T11" s="675" t="s">
        <v>18</v>
      </c>
      <c r="U11" s="27"/>
      <c r="V11" s="27"/>
    </row>
    <row r="12" spans="1:27" ht="15.75" hidden="1" customHeight="1" thickBot="1" x14ac:dyDescent="0.3">
      <c r="A12" s="672"/>
      <c r="B12" s="676"/>
      <c r="C12" s="676"/>
      <c r="D12" s="677" t="s">
        <v>8</v>
      </c>
      <c r="E12" s="807"/>
      <c r="F12" s="809"/>
      <c r="G12" s="678" t="s">
        <v>8</v>
      </c>
      <c r="H12" s="810"/>
      <c r="I12" s="809"/>
      <c r="J12" s="678" t="s">
        <v>8</v>
      </c>
      <c r="K12" s="810"/>
      <c r="L12" s="809"/>
      <c r="M12" s="678" t="s">
        <v>8</v>
      </c>
      <c r="N12" s="810"/>
      <c r="O12" s="809"/>
      <c r="P12" s="678" t="s">
        <v>8</v>
      </c>
      <c r="Q12" s="810"/>
      <c r="R12" s="809"/>
      <c r="S12" s="674"/>
      <c r="T12" s="674"/>
      <c r="U12" s="27"/>
      <c r="V12" s="27"/>
    </row>
    <row r="13" spans="1:27" ht="15.75" thickBot="1" x14ac:dyDescent="0.3">
      <c r="A13" s="63">
        <v>1</v>
      </c>
      <c r="B13" s="734">
        <v>2</v>
      </c>
      <c r="C13" s="735"/>
      <c r="D13" s="648">
        <v>3</v>
      </c>
      <c r="E13" s="645">
        <v>4</v>
      </c>
      <c r="F13" s="647">
        <v>5</v>
      </c>
      <c r="G13" s="646">
        <v>6</v>
      </c>
      <c r="H13" s="647">
        <v>7</v>
      </c>
      <c r="I13" s="647">
        <v>8</v>
      </c>
      <c r="J13" s="647">
        <v>9</v>
      </c>
      <c r="K13" s="647">
        <v>10</v>
      </c>
      <c r="L13" s="647">
        <v>11</v>
      </c>
      <c r="M13" s="647">
        <v>12</v>
      </c>
      <c r="N13" s="647">
        <v>13</v>
      </c>
      <c r="O13" s="647">
        <v>14</v>
      </c>
      <c r="P13" s="647">
        <v>15</v>
      </c>
      <c r="Q13" s="647">
        <v>16</v>
      </c>
      <c r="R13" s="647">
        <v>17</v>
      </c>
      <c r="S13" s="648">
        <v>18</v>
      </c>
      <c r="T13" s="648">
        <v>19</v>
      </c>
      <c r="U13" s="27"/>
      <c r="V13" s="27"/>
    </row>
    <row r="14" spans="1:27" ht="15" customHeight="1" x14ac:dyDescent="0.25">
      <c r="A14" s="89" t="s">
        <v>31</v>
      </c>
      <c r="B14" s="679" t="s">
        <v>153</v>
      </c>
      <c r="C14" s="680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52"/>
      <c r="V14" s="152"/>
      <c r="W14" s="46"/>
    </row>
    <row r="15" spans="1:27" ht="35.25" customHeight="1" x14ac:dyDescent="0.25">
      <c r="A15" s="90"/>
      <c r="B15" s="726" t="s">
        <v>73</v>
      </c>
      <c r="C15" s="727"/>
      <c r="D15" s="616">
        <v>24550.3</v>
      </c>
      <c r="E15" s="616">
        <v>23463.8</v>
      </c>
      <c r="F15" s="616">
        <f>D15-E15</f>
        <v>1086.5</v>
      </c>
      <c r="G15" s="617"/>
      <c r="H15" s="617"/>
      <c r="I15" s="617"/>
      <c r="J15" s="617"/>
      <c r="K15" s="617"/>
      <c r="L15" s="617"/>
      <c r="M15" s="616"/>
      <c r="N15" s="616"/>
      <c r="O15" s="617">
        <f>M15-N15</f>
        <v>0</v>
      </c>
      <c r="P15" s="616">
        <v>1383.8</v>
      </c>
      <c r="Q15" s="616">
        <v>1383.8</v>
      </c>
      <c r="R15" s="617">
        <f>P15-Q15</f>
        <v>0</v>
      </c>
      <c r="S15" s="617">
        <f>F15+I15+L15+O15+R15</f>
        <v>1086.5</v>
      </c>
      <c r="T15" s="576">
        <f>S15/D15</f>
        <v>4.4256078337128267E-2</v>
      </c>
      <c r="U15" s="491"/>
      <c r="V15" s="491"/>
      <c r="W15" s="492"/>
      <c r="X15" s="508"/>
      <c r="Y15" s="494"/>
      <c r="Z15" s="493"/>
      <c r="AA15" s="493"/>
    </row>
    <row r="16" spans="1:27" ht="36" customHeight="1" thickBot="1" x14ac:dyDescent="0.3">
      <c r="A16" s="53"/>
      <c r="B16" s="730" t="s">
        <v>74</v>
      </c>
      <c r="C16" s="731"/>
      <c r="D16" s="618">
        <v>7934.1</v>
      </c>
      <c r="E16" s="618">
        <v>7934.1</v>
      </c>
      <c r="F16" s="618">
        <v>0</v>
      </c>
      <c r="G16" s="618"/>
      <c r="H16" s="618"/>
      <c r="I16" s="618">
        <f>G16-H16</f>
        <v>0</v>
      </c>
      <c r="J16" s="618"/>
      <c r="K16" s="618"/>
      <c r="L16" s="618"/>
      <c r="M16" s="618"/>
      <c r="N16" s="618"/>
      <c r="O16" s="618"/>
      <c r="P16" s="618"/>
      <c r="Q16" s="618"/>
      <c r="R16" s="618">
        <f t="shared" ref="R16:R69" si="0">P16-Q16</f>
        <v>0</v>
      </c>
      <c r="S16" s="618">
        <f t="shared" ref="S16:S40" si="1">F16+I16+L16+O16+R16</f>
        <v>0</v>
      </c>
      <c r="T16" s="576">
        <f t="shared" ref="T16" si="2">S16-F16</f>
        <v>0</v>
      </c>
      <c r="U16" s="495"/>
      <c r="V16" s="495"/>
      <c r="W16" s="496"/>
      <c r="X16" s="497"/>
      <c r="Y16" s="186"/>
      <c r="Z16" s="497"/>
      <c r="AA16" s="186"/>
    </row>
    <row r="17" spans="1:27" ht="15" customHeight="1" thickBot="1" x14ac:dyDescent="0.3">
      <c r="A17" s="93"/>
      <c r="B17" s="94" t="s">
        <v>23</v>
      </c>
      <c r="C17" s="61"/>
      <c r="D17" s="619">
        <f>D15+D16</f>
        <v>32484.400000000001</v>
      </c>
      <c r="E17" s="619">
        <f>E15+E16</f>
        <v>31397.9</v>
      </c>
      <c r="F17" s="620">
        <f>D17-E17</f>
        <v>1086.5</v>
      </c>
      <c r="G17" s="621">
        <f t="shared" ref="G17:R17" si="3">G16+G14</f>
        <v>0</v>
      </c>
      <c r="H17" s="621">
        <f t="shared" si="3"/>
        <v>0</v>
      </c>
      <c r="I17" s="622">
        <f t="shared" si="3"/>
        <v>0</v>
      </c>
      <c r="J17" s="621">
        <f t="shared" si="3"/>
        <v>0</v>
      </c>
      <c r="K17" s="621">
        <f t="shared" si="3"/>
        <v>0</v>
      </c>
      <c r="L17" s="622">
        <f t="shared" si="3"/>
        <v>0</v>
      </c>
      <c r="M17" s="621">
        <f>M15</f>
        <v>0</v>
      </c>
      <c r="N17" s="621">
        <f>N15</f>
        <v>0</v>
      </c>
      <c r="O17" s="622">
        <f>O15</f>
        <v>0</v>
      </c>
      <c r="P17" s="621">
        <f>P15</f>
        <v>1383.8</v>
      </c>
      <c r="Q17" s="621">
        <f>Q15</f>
        <v>1383.8</v>
      </c>
      <c r="R17" s="622">
        <f t="shared" si="3"/>
        <v>0</v>
      </c>
      <c r="S17" s="620">
        <f>S16+S15</f>
        <v>1086.5</v>
      </c>
      <c r="T17" s="661">
        <v>3.3000000000000002E-2</v>
      </c>
      <c r="U17" s="475"/>
      <c r="V17" s="475"/>
      <c r="W17" s="498"/>
      <c r="X17" s="492"/>
      <c r="Y17" s="498"/>
      <c r="Z17" s="493"/>
      <c r="AA17" s="493"/>
    </row>
    <row r="18" spans="1:27" x14ac:dyDescent="0.25">
      <c r="A18" s="33" t="s">
        <v>33</v>
      </c>
      <c r="B18" s="681" t="s">
        <v>154</v>
      </c>
      <c r="C18" s="682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74"/>
      <c r="U18" s="495"/>
      <c r="V18" s="495"/>
      <c r="W18" s="475"/>
      <c r="X18" s="497"/>
      <c r="Y18" s="475"/>
      <c r="Z18" s="493"/>
      <c r="AA18" s="493"/>
    </row>
    <row r="19" spans="1:27" ht="36.75" customHeight="1" x14ac:dyDescent="0.25">
      <c r="A19" s="33"/>
      <c r="B19" s="726" t="s">
        <v>73</v>
      </c>
      <c r="C19" s="727"/>
      <c r="D19" s="616">
        <v>30235.8</v>
      </c>
      <c r="E19" s="616">
        <v>23258.400000000001</v>
      </c>
      <c r="F19" s="616">
        <f t="shared" ref="F19:F40" si="4">D19-E19</f>
        <v>6977.3999999999978</v>
      </c>
      <c r="G19" s="616"/>
      <c r="H19" s="616"/>
      <c r="I19" s="616">
        <f t="shared" ref="I19:I69" si="5">G19-H19</f>
        <v>0</v>
      </c>
      <c r="J19" s="616"/>
      <c r="K19" s="616"/>
      <c r="L19" s="616">
        <f>J19-K19</f>
        <v>0</v>
      </c>
      <c r="M19" s="616"/>
      <c r="N19" s="616"/>
      <c r="O19" s="616">
        <f>M19-N19</f>
        <v>0</v>
      </c>
      <c r="P19" s="616">
        <v>2902.5</v>
      </c>
      <c r="Q19" s="616">
        <v>2902.5</v>
      </c>
      <c r="R19" s="616">
        <f t="shared" ref="R19" si="6">P19-Q19</f>
        <v>0</v>
      </c>
      <c r="S19" s="616">
        <f t="shared" ref="S19" si="7">F19+I19+L19+O19+R19</f>
        <v>6977.3999999999978</v>
      </c>
      <c r="T19" s="576">
        <f>S19/D19</f>
        <v>0.23076617784216055</v>
      </c>
      <c r="U19" s="491"/>
      <c r="V19" s="491"/>
      <c r="W19" s="492"/>
      <c r="X19" s="492"/>
      <c r="Y19" s="497"/>
      <c r="Z19" s="493"/>
      <c r="AA19" s="493"/>
    </row>
    <row r="20" spans="1:27" ht="36" customHeight="1" thickBot="1" x14ac:dyDescent="0.3">
      <c r="A20" s="33"/>
      <c r="B20" s="730" t="s">
        <v>74</v>
      </c>
      <c r="C20" s="731"/>
      <c r="D20" s="618">
        <v>40226.6</v>
      </c>
      <c r="E20" s="618">
        <v>40226.6</v>
      </c>
      <c r="F20" s="618">
        <f t="shared" si="4"/>
        <v>0</v>
      </c>
      <c r="G20" s="618"/>
      <c r="H20" s="618"/>
      <c r="I20" s="618">
        <f t="shared" si="5"/>
        <v>0</v>
      </c>
      <c r="J20" s="618"/>
      <c r="K20" s="618"/>
      <c r="L20" s="618"/>
      <c r="M20" s="618"/>
      <c r="N20" s="618"/>
      <c r="O20" s="618"/>
      <c r="P20" s="618"/>
      <c r="Q20" s="618"/>
      <c r="R20" s="618">
        <f t="shared" si="0"/>
        <v>0</v>
      </c>
      <c r="S20" s="618">
        <f t="shared" si="1"/>
        <v>0</v>
      </c>
      <c r="T20" s="576">
        <v>0</v>
      </c>
      <c r="U20" s="491"/>
      <c r="V20" s="491"/>
      <c r="W20" s="492"/>
      <c r="X20" s="492"/>
      <c r="Y20" s="492"/>
      <c r="Z20" s="493"/>
      <c r="AA20" s="493"/>
    </row>
    <row r="21" spans="1:27" ht="15.75" customHeight="1" thickBot="1" x14ac:dyDescent="0.3">
      <c r="A21" s="66"/>
      <c r="B21" s="94" t="s">
        <v>23</v>
      </c>
      <c r="C21" s="61"/>
      <c r="D21" s="624">
        <f>D19+D20</f>
        <v>70462.399999999994</v>
      </c>
      <c r="E21" s="35">
        <f>E19+E20</f>
        <v>63485</v>
      </c>
      <c r="F21" s="620">
        <f>D21-E21</f>
        <v>6977.3999999999942</v>
      </c>
      <c r="G21" s="35">
        <f>G19+G20</f>
        <v>0</v>
      </c>
      <c r="H21" s="35">
        <f>H19+H20</f>
        <v>0</v>
      </c>
      <c r="I21" s="620">
        <f t="shared" ref="I21:Q21" si="8">I19</f>
        <v>0</v>
      </c>
      <c r="J21" s="35">
        <f t="shared" si="8"/>
        <v>0</v>
      </c>
      <c r="K21" s="35">
        <f t="shared" si="8"/>
        <v>0</v>
      </c>
      <c r="L21" s="620">
        <f t="shared" si="8"/>
        <v>0</v>
      </c>
      <c r="M21" s="35">
        <f t="shared" si="8"/>
        <v>0</v>
      </c>
      <c r="N21" s="35">
        <f t="shared" si="8"/>
        <v>0</v>
      </c>
      <c r="O21" s="620">
        <f t="shared" si="8"/>
        <v>0</v>
      </c>
      <c r="P21" s="35">
        <f t="shared" si="8"/>
        <v>2902.5</v>
      </c>
      <c r="Q21" s="35">
        <f t="shared" si="8"/>
        <v>2902.5</v>
      </c>
      <c r="R21" s="620">
        <f t="shared" ref="R21" si="9">R18+R20</f>
        <v>0</v>
      </c>
      <c r="S21" s="620">
        <f>S19+S20</f>
        <v>6977.3999999999978</v>
      </c>
      <c r="T21" s="661">
        <v>9.9000000000000005E-2</v>
      </c>
      <c r="U21" s="475"/>
      <c r="V21" s="475"/>
      <c r="W21" s="498"/>
      <c r="X21" s="497"/>
      <c r="Y21" s="498"/>
      <c r="Z21" s="499"/>
      <c r="AA21" s="493"/>
    </row>
    <row r="22" spans="1:27" ht="16.5" customHeight="1" x14ac:dyDescent="0.25">
      <c r="A22" s="33" t="s">
        <v>36</v>
      </c>
      <c r="B22" s="681" t="s">
        <v>155</v>
      </c>
      <c r="C22" s="681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74"/>
      <c r="U22" s="495"/>
      <c r="V22" s="495"/>
      <c r="W22" s="475"/>
      <c r="X22" s="497"/>
      <c r="Y22" s="475"/>
      <c r="Z22" s="493"/>
      <c r="AA22" s="493"/>
    </row>
    <row r="23" spans="1:27" ht="35.25" customHeight="1" thickBot="1" x14ac:dyDescent="0.3">
      <c r="A23" s="33"/>
      <c r="B23" s="726" t="s">
        <v>73</v>
      </c>
      <c r="C23" s="727"/>
      <c r="D23" s="616"/>
      <c r="E23" s="616"/>
      <c r="F23" s="618">
        <f>D23-E23</f>
        <v>0</v>
      </c>
      <c r="G23" s="616"/>
      <c r="H23" s="616"/>
      <c r="I23" s="616">
        <f>G23-H23</f>
        <v>0</v>
      </c>
      <c r="J23" s="616"/>
      <c r="K23" s="616"/>
      <c r="L23" s="616">
        <f>J23-K23</f>
        <v>0</v>
      </c>
      <c r="M23" s="616"/>
      <c r="N23" s="616"/>
      <c r="O23" s="616"/>
      <c r="P23" s="616">
        <v>221597.1</v>
      </c>
      <c r="Q23" s="616">
        <v>221597.1</v>
      </c>
      <c r="R23" s="616">
        <f>P23-Q23</f>
        <v>0</v>
      </c>
      <c r="S23" s="616">
        <f t="shared" si="1"/>
        <v>0</v>
      </c>
      <c r="T23" s="576">
        <v>0</v>
      </c>
      <c r="U23" s="491"/>
      <c r="V23" s="491"/>
      <c r="W23" s="492"/>
      <c r="X23" s="492"/>
      <c r="Y23" s="492"/>
      <c r="Z23" s="493"/>
      <c r="AA23" s="493"/>
    </row>
    <row r="24" spans="1:27" ht="34.5" customHeight="1" thickBot="1" x14ac:dyDescent="0.3">
      <c r="A24" s="33"/>
      <c r="B24" s="730" t="s">
        <v>74</v>
      </c>
      <c r="C24" s="731"/>
      <c r="D24" s="618"/>
      <c r="E24" s="618"/>
      <c r="F24" s="618">
        <f t="shared" si="4"/>
        <v>0</v>
      </c>
      <c r="G24" s="618"/>
      <c r="H24" s="618"/>
      <c r="I24" s="618">
        <f t="shared" si="5"/>
        <v>0</v>
      </c>
      <c r="J24" s="618"/>
      <c r="K24" s="618"/>
      <c r="L24" s="618"/>
      <c r="M24" s="618"/>
      <c r="N24" s="618"/>
      <c r="O24" s="618"/>
      <c r="P24" s="618"/>
      <c r="Q24" s="618"/>
      <c r="R24" s="618">
        <f t="shared" si="0"/>
        <v>0</v>
      </c>
      <c r="S24" s="618">
        <f t="shared" si="1"/>
        <v>0</v>
      </c>
      <c r="T24" s="576">
        <v>0</v>
      </c>
      <c r="U24" s="491"/>
      <c r="V24" s="491"/>
      <c r="W24" s="492"/>
      <c r="X24" s="497"/>
      <c r="Y24" s="242"/>
      <c r="Z24" s="499"/>
      <c r="AA24" s="493"/>
    </row>
    <row r="25" spans="1:27" ht="15.75" thickBot="1" x14ac:dyDescent="0.3">
      <c r="A25" s="66"/>
      <c r="B25" s="64" t="s">
        <v>23</v>
      </c>
      <c r="C25" s="59"/>
      <c r="D25" s="35">
        <f>D23+D24</f>
        <v>0</v>
      </c>
      <c r="E25" s="35">
        <f>E23+E24</f>
        <v>0</v>
      </c>
      <c r="F25" s="620">
        <f>D25-E25</f>
        <v>0</v>
      </c>
      <c r="G25" s="35">
        <f>SUM(G23:G24)</f>
        <v>0</v>
      </c>
      <c r="H25" s="35">
        <f>SUM(H23:H24)</f>
        <v>0</v>
      </c>
      <c r="I25" s="620">
        <f>I23+I24</f>
        <v>0</v>
      </c>
      <c r="J25" s="35">
        <f>J23+J24</f>
        <v>0</v>
      </c>
      <c r="K25" s="35">
        <f t="shared" ref="K25:L25" si="10">K23+K24</f>
        <v>0</v>
      </c>
      <c r="L25" s="620">
        <f t="shared" si="10"/>
        <v>0</v>
      </c>
      <c r="M25" s="35">
        <f t="shared" ref="M25:O25" si="11">M22+M24</f>
        <v>0</v>
      </c>
      <c r="N25" s="35">
        <f t="shared" si="11"/>
        <v>0</v>
      </c>
      <c r="O25" s="620">
        <f t="shared" si="11"/>
        <v>0</v>
      </c>
      <c r="P25" s="35">
        <f>P23</f>
        <v>221597.1</v>
      </c>
      <c r="Q25" s="35">
        <f>Q23</f>
        <v>221597.1</v>
      </c>
      <c r="R25" s="620">
        <f>R23</f>
        <v>0</v>
      </c>
      <c r="S25" s="620">
        <f>S23+S24</f>
        <v>0</v>
      </c>
      <c r="T25" s="661">
        <v>0</v>
      </c>
      <c r="U25" s="475"/>
      <c r="V25" s="475"/>
      <c r="W25" s="498"/>
      <c r="X25" s="497"/>
      <c r="Y25" s="498"/>
      <c r="Z25" s="493"/>
      <c r="AA25" s="493"/>
    </row>
    <row r="26" spans="1:27" ht="15" customHeight="1" x14ac:dyDescent="0.25">
      <c r="A26" s="33" t="s">
        <v>42</v>
      </c>
      <c r="B26" s="681" t="s">
        <v>156</v>
      </c>
      <c r="C26" s="681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74"/>
      <c r="U26" s="495"/>
      <c r="V26" s="495"/>
      <c r="W26" s="475"/>
      <c r="X26" s="497"/>
      <c r="Y26" s="492"/>
      <c r="Z26" s="493"/>
      <c r="AA26" s="493"/>
    </row>
    <row r="27" spans="1:27" ht="34.5" customHeight="1" x14ac:dyDescent="0.25">
      <c r="A27" s="33"/>
      <c r="B27" s="726" t="s">
        <v>73</v>
      </c>
      <c r="C27" s="727"/>
      <c r="D27" s="616"/>
      <c r="E27" s="616"/>
      <c r="F27" s="616">
        <f t="shared" si="4"/>
        <v>0</v>
      </c>
      <c r="G27" s="616"/>
      <c r="H27" s="616"/>
      <c r="I27" s="616">
        <f>G27-H27</f>
        <v>0</v>
      </c>
      <c r="J27" s="616"/>
      <c r="K27" s="616"/>
      <c r="L27" s="616">
        <f>J27-K27</f>
        <v>0</v>
      </c>
      <c r="M27" s="616"/>
      <c r="N27" s="616"/>
      <c r="O27" s="616"/>
      <c r="P27" s="616">
        <v>5853</v>
      </c>
      <c r="Q27" s="616">
        <v>5853</v>
      </c>
      <c r="R27" s="616">
        <f t="shared" si="0"/>
        <v>0</v>
      </c>
      <c r="S27" s="616">
        <f t="shared" si="1"/>
        <v>0</v>
      </c>
      <c r="T27" s="576">
        <v>0</v>
      </c>
      <c r="U27" s="495"/>
      <c r="V27" s="495"/>
      <c r="W27" s="492"/>
      <c r="X27" s="492"/>
      <c r="Y27" s="492"/>
      <c r="Z27" s="493"/>
      <c r="AA27" s="493"/>
    </row>
    <row r="28" spans="1:27" ht="33.75" customHeight="1" thickBot="1" x14ac:dyDescent="0.3">
      <c r="A28" s="33"/>
      <c r="B28" s="730" t="s">
        <v>74</v>
      </c>
      <c r="C28" s="731"/>
      <c r="D28" s="616">
        <v>1241.0999999999999</v>
      </c>
      <c r="E28" s="616">
        <v>1241.0999999999999</v>
      </c>
      <c r="F28" s="616">
        <f t="shared" si="4"/>
        <v>0</v>
      </c>
      <c r="G28" s="616"/>
      <c r="H28" s="616"/>
      <c r="I28" s="618">
        <f>G28-H28</f>
        <v>0</v>
      </c>
      <c r="J28" s="625"/>
      <c r="K28" s="618"/>
      <c r="L28" s="618"/>
      <c r="M28" s="616"/>
      <c r="N28" s="616"/>
      <c r="O28" s="616">
        <f>M28-N28</f>
        <v>0</v>
      </c>
      <c r="P28" s="618"/>
      <c r="Q28" s="618"/>
      <c r="R28" s="618">
        <f t="shared" si="0"/>
        <v>0</v>
      </c>
      <c r="S28" s="618">
        <f t="shared" si="1"/>
        <v>0</v>
      </c>
      <c r="T28" s="576">
        <v>0</v>
      </c>
      <c r="U28" s="495"/>
      <c r="V28" s="495"/>
      <c r="W28" s="492"/>
      <c r="X28" s="492"/>
      <c r="Y28" s="492"/>
      <c r="Z28" s="493"/>
      <c r="AA28" s="493"/>
    </row>
    <row r="29" spans="1:27" ht="15.75" thickBot="1" x14ac:dyDescent="0.3">
      <c r="A29" s="66"/>
      <c r="B29" s="95" t="s">
        <v>23</v>
      </c>
      <c r="C29" s="59"/>
      <c r="D29" s="35">
        <f>SUM(D26:D28)</f>
        <v>1241.0999999999999</v>
      </c>
      <c r="E29" s="35">
        <f t="shared" ref="E29:S29" si="12">SUM(E26:E28)</f>
        <v>1241.0999999999999</v>
      </c>
      <c r="F29" s="620">
        <f t="shared" si="4"/>
        <v>0</v>
      </c>
      <c r="G29" s="35">
        <f>SUM(G26:G28)</f>
        <v>0</v>
      </c>
      <c r="H29" s="35">
        <f>SUM(H26:H28)</f>
        <v>0</v>
      </c>
      <c r="I29" s="620">
        <f t="shared" si="12"/>
        <v>0</v>
      </c>
      <c r="J29" s="35">
        <f t="shared" si="12"/>
        <v>0</v>
      </c>
      <c r="K29" s="35">
        <f t="shared" si="12"/>
        <v>0</v>
      </c>
      <c r="L29" s="620">
        <f t="shared" si="12"/>
        <v>0</v>
      </c>
      <c r="M29" s="35">
        <f t="shared" si="12"/>
        <v>0</v>
      </c>
      <c r="N29" s="35">
        <f t="shared" si="12"/>
        <v>0</v>
      </c>
      <c r="O29" s="620">
        <f t="shared" si="12"/>
        <v>0</v>
      </c>
      <c r="P29" s="35">
        <f t="shared" si="12"/>
        <v>5853</v>
      </c>
      <c r="Q29" s="35">
        <f t="shared" si="12"/>
        <v>5853</v>
      </c>
      <c r="R29" s="626">
        <f t="shared" si="12"/>
        <v>0</v>
      </c>
      <c r="S29" s="620">
        <f t="shared" si="12"/>
        <v>0</v>
      </c>
      <c r="T29" s="661">
        <v>0</v>
      </c>
      <c r="U29" s="475"/>
      <c r="V29" s="475"/>
      <c r="W29" s="498"/>
      <c r="X29" s="497"/>
      <c r="Y29" s="498"/>
      <c r="Z29" s="499"/>
      <c r="AA29" s="493"/>
    </row>
    <row r="30" spans="1:27" ht="15" customHeight="1" x14ac:dyDescent="0.25">
      <c r="A30" s="33" t="s">
        <v>45</v>
      </c>
      <c r="B30" s="681" t="s">
        <v>164</v>
      </c>
      <c r="C30" s="681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7"/>
      <c r="S30" s="628"/>
      <c r="T30" s="110"/>
      <c r="U30" s="495"/>
      <c r="V30" s="495"/>
      <c r="W30" s="475"/>
      <c r="X30" s="497"/>
      <c r="Y30" s="242"/>
      <c r="Z30" s="493"/>
      <c r="AA30" s="493"/>
    </row>
    <row r="31" spans="1:27" ht="33" customHeight="1" x14ac:dyDescent="0.25">
      <c r="A31" s="33"/>
      <c r="B31" s="726" t="s">
        <v>73</v>
      </c>
      <c r="C31" s="727"/>
      <c r="D31" s="616">
        <v>7267.4</v>
      </c>
      <c r="E31" s="616">
        <v>5876.1</v>
      </c>
      <c r="F31" s="616">
        <f t="shared" ref="F31" si="13">D31-E31</f>
        <v>1391.2999999999993</v>
      </c>
      <c r="G31" s="616"/>
      <c r="H31" s="616"/>
      <c r="I31" s="616">
        <f t="shared" si="5"/>
        <v>0</v>
      </c>
      <c r="J31" s="616"/>
      <c r="K31" s="616"/>
      <c r="L31" s="616">
        <f>J31-K31</f>
        <v>0</v>
      </c>
      <c r="M31" s="616"/>
      <c r="N31" s="616"/>
      <c r="O31" s="616">
        <f>M31-N31</f>
        <v>0</v>
      </c>
      <c r="P31" s="616">
        <v>4128.2</v>
      </c>
      <c r="Q31" s="616">
        <v>4128.2</v>
      </c>
      <c r="R31" s="629">
        <f t="shared" ref="R31" si="14">P31-Q31</f>
        <v>0</v>
      </c>
      <c r="S31" s="616">
        <f>F31+I31+L31+O31+R31</f>
        <v>1391.2999999999993</v>
      </c>
      <c r="T31" s="576">
        <f>S31/D31</f>
        <v>0.19144398271734037</v>
      </c>
      <c r="U31" s="491"/>
      <c r="V31" s="491"/>
      <c r="W31" s="492"/>
      <c r="X31" s="492"/>
      <c r="Y31" s="494"/>
      <c r="Z31" s="493"/>
      <c r="AA31" s="493"/>
    </row>
    <row r="32" spans="1:27" ht="39" customHeight="1" thickBot="1" x14ac:dyDescent="0.3">
      <c r="A32" s="33"/>
      <c r="B32" s="730" t="s">
        <v>74</v>
      </c>
      <c r="C32" s="731"/>
      <c r="D32" s="618">
        <v>11365.1</v>
      </c>
      <c r="E32" s="618">
        <v>10678</v>
      </c>
      <c r="F32" s="618">
        <f t="shared" si="4"/>
        <v>687.10000000000036</v>
      </c>
      <c r="G32" s="618"/>
      <c r="H32" s="618"/>
      <c r="I32" s="618">
        <f t="shared" si="5"/>
        <v>0</v>
      </c>
      <c r="J32" s="618"/>
      <c r="K32" s="618"/>
      <c r="L32" s="618"/>
      <c r="M32" s="618"/>
      <c r="N32" s="618"/>
      <c r="O32" s="618"/>
      <c r="P32" s="618"/>
      <c r="Q32" s="618"/>
      <c r="R32" s="630">
        <f t="shared" si="0"/>
        <v>0</v>
      </c>
      <c r="S32" s="618">
        <f>F32+I32+L32+O32+R32</f>
        <v>687.10000000000036</v>
      </c>
      <c r="T32" s="576">
        <f>S32/D32</f>
        <v>6.0457013136708024E-2</v>
      </c>
      <c r="U32" s="491"/>
      <c r="V32" s="491"/>
      <c r="W32" s="497"/>
      <c r="X32" s="497"/>
      <c r="Y32" s="492"/>
      <c r="Z32" s="499"/>
      <c r="AA32" s="493"/>
    </row>
    <row r="33" spans="1:27" ht="15.75" thickBot="1" x14ac:dyDescent="0.3">
      <c r="A33" s="93"/>
      <c r="B33" s="94" t="s">
        <v>23</v>
      </c>
      <c r="C33" s="61"/>
      <c r="D33" s="624">
        <f>SUM(D30:D32)</f>
        <v>18632.5</v>
      </c>
      <c r="E33" s="624">
        <f t="shared" ref="E33:F33" si="15">SUM(E30:E32)</f>
        <v>16554.099999999999</v>
      </c>
      <c r="F33" s="620">
        <f t="shared" si="15"/>
        <v>2078.3999999999996</v>
      </c>
      <c r="G33" s="35">
        <f t="shared" ref="G33:R33" si="16">G31+G32</f>
        <v>0</v>
      </c>
      <c r="H33" s="35">
        <f t="shared" si="16"/>
        <v>0</v>
      </c>
      <c r="I33" s="620">
        <f t="shared" si="16"/>
        <v>0</v>
      </c>
      <c r="J33" s="35">
        <f t="shared" si="16"/>
        <v>0</v>
      </c>
      <c r="K33" s="35">
        <f t="shared" si="16"/>
        <v>0</v>
      </c>
      <c r="L33" s="620">
        <f t="shared" si="16"/>
        <v>0</v>
      </c>
      <c r="M33" s="35">
        <f t="shared" si="16"/>
        <v>0</v>
      </c>
      <c r="N33" s="35">
        <f t="shared" si="16"/>
        <v>0</v>
      </c>
      <c r="O33" s="620">
        <f t="shared" si="16"/>
        <v>0</v>
      </c>
      <c r="P33" s="35">
        <f t="shared" si="16"/>
        <v>4128.2</v>
      </c>
      <c r="Q33" s="35">
        <f t="shared" si="16"/>
        <v>4128.2</v>
      </c>
      <c r="R33" s="35">
        <f t="shared" si="16"/>
        <v>0</v>
      </c>
      <c r="S33" s="626">
        <f>F33+I33+L33+O33+R33</f>
        <v>2078.3999999999996</v>
      </c>
      <c r="T33" s="661">
        <f>S33/D33</f>
        <v>0.11154702804239902</v>
      </c>
      <c r="U33" s="475"/>
      <c r="V33" s="475"/>
      <c r="W33" s="498"/>
      <c r="X33" s="242"/>
      <c r="Y33" s="498"/>
      <c r="Z33" s="695"/>
      <c r="AA33" s="493"/>
    </row>
    <row r="34" spans="1:27" ht="15" customHeight="1" x14ac:dyDescent="0.25">
      <c r="A34" s="33" t="s">
        <v>46</v>
      </c>
      <c r="B34" s="681" t="s">
        <v>163</v>
      </c>
      <c r="C34" s="681"/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3"/>
      <c r="Q34" s="623"/>
      <c r="R34" s="623"/>
      <c r="S34" s="627"/>
      <c r="T34" s="636"/>
      <c r="U34" s="495"/>
      <c r="V34" s="495"/>
      <c r="W34" s="475"/>
      <c r="X34" s="242"/>
      <c r="Y34" s="242"/>
      <c r="Z34" s="493"/>
      <c r="AA34" s="493"/>
    </row>
    <row r="35" spans="1:27" ht="33.75" customHeight="1" x14ac:dyDescent="0.25">
      <c r="A35" s="33"/>
      <c r="B35" s="726" t="s">
        <v>73</v>
      </c>
      <c r="C35" s="727"/>
      <c r="D35" s="616"/>
      <c r="E35" s="616"/>
      <c r="F35" s="616">
        <f t="shared" ref="F35" si="17">D35-E35</f>
        <v>0</v>
      </c>
      <c r="G35" s="616"/>
      <c r="H35" s="616"/>
      <c r="I35" s="616">
        <f t="shared" ref="I35" si="18">G35-H35</f>
        <v>0</v>
      </c>
      <c r="J35" s="637"/>
      <c r="K35" s="616"/>
      <c r="L35" s="616"/>
      <c r="M35" s="616"/>
      <c r="N35" s="616"/>
      <c r="O35" s="616">
        <f>M35-N35</f>
        <v>0</v>
      </c>
      <c r="P35" s="616">
        <v>9410</v>
      </c>
      <c r="Q35" s="616">
        <v>9410</v>
      </c>
      <c r="R35" s="616">
        <f t="shared" ref="R35" si="19">P35-Q35</f>
        <v>0</v>
      </c>
      <c r="S35" s="629">
        <f t="shared" ref="S35" si="20">F35+I35+L35+O35+R35</f>
        <v>0</v>
      </c>
      <c r="T35" s="576">
        <v>0</v>
      </c>
      <c r="U35" s="491"/>
      <c r="V35" s="491"/>
      <c r="W35" s="492"/>
      <c r="X35" s="492"/>
      <c r="Y35" s="494"/>
      <c r="Z35" s="493"/>
      <c r="AA35" s="493"/>
    </row>
    <row r="36" spans="1:27" ht="36.75" customHeight="1" thickBot="1" x14ac:dyDescent="0.3">
      <c r="A36" s="33"/>
      <c r="B36" s="724" t="s">
        <v>74</v>
      </c>
      <c r="C36" s="725"/>
      <c r="D36" s="618"/>
      <c r="E36" s="618"/>
      <c r="F36" s="618">
        <f t="shared" si="4"/>
        <v>0</v>
      </c>
      <c r="G36" s="618"/>
      <c r="H36" s="618"/>
      <c r="I36" s="618"/>
      <c r="J36" s="618"/>
      <c r="K36" s="618"/>
      <c r="L36" s="618">
        <f>J36-K36</f>
        <v>0</v>
      </c>
      <c r="M36" s="618"/>
      <c r="N36" s="618"/>
      <c r="O36" s="618"/>
      <c r="P36" s="618"/>
      <c r="Q36" s="618"/>
      <c r="R36" s="618">
        <f t="shared" si="0"/>
        <v>0</v>
      </c>
      <c r="S36" s="630">
        <f t="shared" si="1"/>
        <v>0</v>
      </c>
      <c r="T36" s="576">
        <v>0</v>
      </c>
      <c r="U36" s="491"/>
      <c r="V36" s="491"/>
      <c r="W36" s="492"/>
      <c r="X36" s="492"/>
      <c r="Y36" s="492"/>
      <c r="Z36" s="493"/>
      <c r="AA36" s="493"/>
    </row>
    <row r="37" spans="1:27" ht="13.5" customHeight="1" thickBot="1" x14ac:dyDescent="0.3">
      <c r="A37" s="66"/>
      <c r="B37" s="64" t="s">
        <v>23</v>
      </c>
      <c r="C37" s="94"/>
      <c r="D37" s="35">
        <f>SUM(D34:D36)</f>
        <v>0</v>
      </c>
      <c r="E37" s="35">
        <f t="shared" ref="E37:R37" si="21">SUM(E34:E36)</f>
        <v>0</v>
      </c>
      <c r="F37" s="620">
        <f>D37-E37</f>
        <v>0</v>
      </c>
      <c r="G37" s="35">
        <f t="shared" si="21"/>
        <v>0</v>
      </c>
      <c r="H37" s="35">
        <f t="shared" si="21"/>
        <v>0</v>
      </c>
      <c r="I37" s="620">
        <f t="shared" si="21"/>
        <v>0</v>
      </c>
      <c r="J37" s="35">
        <f t="shared" si="21"/>
        <v>0</v>
      </c>
      <c r="K37" s="35">
        <f t="shared" si="21"/>
        <v>0</v>
      </c>
      <c r="L37" s="620">
        <f t="shared" si="21"/>
        <v>0</v>
      </c>
      <c r="M37" s="35">
        <f t="shared" si="21"/>
        <v>0</v>
      </c>
      <c r="N37" s="35">
        <f t="shared" si="21"/>
        <v>0</v>
      </c>
      <c r="O37" s="620">
        <f t="shared" si="21"/>
        <v>0</v>
      </c>
      <c r="P37" s="35">
        <f t="shared" si="21"/>
        <v>9410</v>
      </c>
      <c r="Q37" s="35">
        <f t="shared" si="21"/>
        <v>9410</v>
      </c>
      <c r="R37" s="620">
        <f t="shared" si="21"/>
        <v>0</v>
      </c>
      <c r="S37" s="626">
        <f>SUM(S34:S36)</f>
        <v>0</v>
      </c>
      <c r="T37" s="661">
        <v>0</v>
      </c>
      <c r="U37" s="475"/>
      <c r="V37" s="475"/>
      <c r="W37" s="498"/>
      <c r="X37" s="497"/>
      <c r="Y37" s="498"/>
      <c r="Z37" s="499"/>
      <c r="AA37" s="493"/>
    </row>
    <row r="38" spans="1:27" x14ac:dyDescent="0.25">
      <c r="A38" s="33" t="s">
        <v>49</v>
      </c>
      <c r="B38" s="681" t="s">
        <v>162</v>
      </c>
      <c r="C38" s="68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73"/>
      <c r="U38" s="495"/>
      <c r="V38" s="495"/>
      <c r="W38" s="475"/>
      <c r="X38" s="475"/>
      <c r="Y38" s="475"/>
      <c r="Z38" s="493"/>
      <c r="AA38" s="493"/>
    </row>
    <row r="39" spans="1:27" ht="33.75" customHeight="1" x14ac:dyDescent="0.25">
      <c r="A39" s="33"/>
      <c r="B39" s="726" t="s">
        <v>73</v>
      </c>
      <c r="C39" s="727"/>
      <c r="D39" s="616">
        <v>7869.6</v>
      </c>
      <c r="E39" s="616">
        <v>6780.2</v>
      </c>
      <c r="F39" s="616">
        <f t="shared" si="4"/>
        <v>1089.4000000000005</v>
      </c>
      <c r="G39" s="616"/>
      <c r="H39" s="616"/>
      <c r="I39" s="616">
        <f>G39-H39</f>
        <v>0</v>
      </c>
      <c r="J39" s="617"/>
      <c r="K39" s="617"/>
      <c r="L39" s="617"/>
      <c r="M39" s="617"/>
      <c r="N39" s="617"/>
      <c r="O39" s="617"/>
      <c r="P39" s="616">
        <v>2400</v>
      </c>
      <c r="Q39" s="616">
        <v>2400</v>
      </c>
      <c r="R39" s="617">
        <f t="shared" ref="R39" si="22">P39-Q39</f>
        <v>0</v>
      </c>
      <c r="S39" s="617">
        <f t="shared" ref="S39" si="23">F39+I39+L39+O39+R39</f>
        <v>1089.4000000000005</v>
      </c>
      <c r="T39" s="576">
        <f>S39/D39</f>
        <v>0.13843143234726041</v>
      </c>
      <c r="U39" s="491"/>
      <c r="V39" s="491"/>
      <c r="W39" s="492"/>
      <c r="X39" s="492"/>
      <c r="Y39" s="492"/>
      <c r="Z39" s="493"/>
      <c r="AA39" s="493"/>
    </row>
    <row r="40" spans="1:27" ht="34.5" customHeight="1" thickBot="1" x14ac:dyDescent="0.3">
      <c r="A40" s="33"/>
      <c r="B40" s="724" t="s">
        <v>74</v>
      </c>
      <c r="C40" s="725"/>
      <c r="D40" s="618">
        <v>22685.7</v>
      </c>
      <c r="E40" s="618">
        <v>22685.7</v>
      </c>
      <c r="F40" s="618">
        <f t="shared" si="4"/>
        <v>0</v>
      </c>
      <c r="G40" s="618"/>
      <c r="H40" s="618"/>
      <c r="I40" s="616">
        <f>G40-H40</f>
        <v>0</v>
      </c>
      <c r="J40" s="618"/>
      <c r="K40" s="618"/>
      <c r="L40" s="618"/>
      <c r="M40" s="618"/>
      <c r="N40" s="618"/>
      <c r="O40" s="618"/>
      <c r="P40" s="618"/>
      <c r="Q40" s="618"/>
      <c r="R40" s="618">
        <f t="shared" si="0"/>
        <v>0</v>
      </c>
      <c r="S40" s="618">
        <f t="shared" si="1"/>
        <v>0</v>
      </c>
      <c r="T40" s="576">
        <v>0</v>
      </c>
      <c r="U40" s="491"/>
      <c r="V40" s="491"/>
      <c r="W40" s="492"/>
      <c r="X40" s="497"/>
      <c r="Y40" s="492"/>
      <c r="Z40" s="499"/>
      <c r="AA40" s="493"/>
    </row>
    <row r="41" spans="1:27" ht="15.75" thickBot="1" x14ac:dyDescent="0.3">
      <c r="A41" s="66"/>
      <c r="B41" s="94" t="s">
        <v>23</v>
      </c>
      <c r="C41" s="64"/>
      <c r="D41" s="35">
        <f>SUM(D38:D40)</f>
        <v>30555.300000000003</v>
      </c>
      <c r="E41" s="35">
        <f t="shared" ref="E41:S41" si="24">SUM(E38:E40)</f>
        <v>29465.9</v>
      </c>
      <c r="F41" s="620">
        <f>D41-E41</f>
        <v>1089.4000000000015</v>
      </c>
      <c r="G41" s="35">
        <f t="shared" si="24"/>
        <v>0</v>
      </c>
      <c r="H41" s="35">
        <f t="shared" si="24"/>
        <v>0</v>
      </c>
      <c r="I41" s="620">
        <f t="shared" si="24"/>
        <v>0</v>
      </c>
      <c r="J41" s="35">
        <f t="shared" si="24"/>
        <v>0</v>
      </c>
      <c r="K41" s="35">
        <f t="shared" si="24"/>
        <v>0</v>
      </c>
      <c r="L41" s="620">
        <f t="shared" si="24"/>
        <v>0</v>
      </c>
      <c r="M41" s="35">
        <f t="shared" si="24"/>
        <v>0</v>
      </c>
      <c r="N41" s="35">
        <f t="shared" si="24"/>
        <v>0</v>
      </c>
      <c r="O41" s="620">
        <f t="shared" si="24"/>
        <v>0</v>
      </c>
      <c r="P41" s="35">
        <f t="shared" si="24"/>
        <v>2400</v>
      </c>
      <c r="Q41" s="35">
        <f t="shared" si="24"/>
        <v>2400</v>
      </c>
      <c r="R41" s="620">
        <f t="shared" si="24"/>
        <v>0</v>
      </c>
      <c r="S41" s="620">
        <f t="shared" si="24"/>
        <v>1089.4000000000005</v>
      </c>
      <c r="T41" s="661">
        <f>S41/D41</f>
        <v>3.5653389101072498E-2</v>
      </c>
      <c r="U41" s="475"/>
      <c r="V41" s="475"/>
      <c r="W41" s="498"/>
      <c r="X41" s="497"/>
      <c r="Y41" s="498"/>
      <c r="Z41" s="493"/>
      <c r="AA41" s="493"/>
    </row>
    <row r="42" spans="1:27" ht="15.75" customHeight="1" x14ac:dyDescent="0.25">
      <c r="A42" s="33" t="s">
        <v>50</v>
      </c>
      <c r="B42" s="681" t="s">
        <v>161</v>
      </c>
      <c r="C42" s="681"/>
      <c r="D42" s="623"/>
      <c r="E42" s="623"/>
      <c r="F42" s="623"/>
      <c r="G42" s="623"/>
      <c r="H42" s="623"/>
      <c r="I42" s="623"/>
      <c r="J42" s="623"/>
      <c r="K42" s="623"/>
      <c r="L42" s="623"/>
      <c r="M42" s="623"/>
      <c r="N42" s="623"/>
      <c r="O42" s="623"/>
      <c r="P42" s="623"/>
      <c r="Q42" s="623"/>
      <c r="R42" s="623"/>
      <c r="S42" s="623"/>
      <c r="T42" s="74"/>
      <c r="U42" s="495"/>
      <c r="V42" s="495"/>
      <c r="W42" s="475"/>
      <c r="X42" s="492"/>
      <c r="Y42" s="242"/>
      <c r="Z42" s="493"/>
      <c r="AA42" s="493"/>
    </row>
    <row r="43" spans="1:27" ht="34.5" customHeight="1" x14ac:dyDescent="0.25">
      <c r="A43" s="33"/>
      <c r="B43" s="726" t="s">
        <v>73</v>
      </c>
      <c r="C43" s="727"/>
      <c r="D43" s="616"/>
      <c r="E43" s="616"/>
      <c r="F43" s="616">
        <f t="shared" ref="F43:F44" si="25">D43-E43</f>
        <v>0</v>
      </c>
      <c r="G43" s="616"/>
      <c r="H43" s="616"/>
      <c r="I43" s="616">
        <f t="shared" ref="I43:I44" si="26">G43-H43</f>
        <v>0</v>
      </c>
      <c r="J43" s="616"/>
      <c r="K43" s="616"/>
      <c r="L43" s="616">
        <f>J43-K43</f>
        <v>0</v>
      </c>
      <c r="M43" s="616"/>
      <c r="N43" s="616"/>
      <c r="O43" s="616"/>
      <c r="P43" s="616">
        <v>43183.1</v>
      </c>
      <c r="Q43" s="616">
        <v>43183.1</v>
      </c>
      <c r="R43" s="616">
        <f t="shared" ref="R43:R44" si="27">P43-Q43</f>
        <v>0</v>
      </c>
      <c r="S43" s="616">
        <f t="shared" ref="S43:S44" si="28">F43+I43+L43+O43+R43</f>
        <v>0</v>
      </c>
      <c r="T43" s="576">
        <v>0</v>
      </c>
      <c r="U43" s="491"/>
      <c r="V43" s="491"/>
      <c r="W43" s="492"/>
      <c r="X43" s="492"/>
      <c r="Y43" s="492"/>
      <c r="Z43" s="493"/>
      <c r="AA43" s="493"/>
    </row>
    <row r="44" spans="1:27" ht="33.75" customHeight="1" thickBot="1" x14ac:dyDescent="0.3">
      <c r="A44" s="33"/>
      <c r="B44" s="724" t="s">
        <v>74</v>
      </c>
      <c r="C44" s="725"/>
      <c r="D44" s="618"/>
      <c r="E44" s="618"/>
      <c r="F44" s="618">
        <f t="shared" si="25"/>
        <v>0</v>
      </c>
      <c r="G44" s="618"/>
      <c r="H44" s="618"/>
      <c r="I44" s="618">
        <f t="shared" si="26"/>
        <v>0</v>
      </c>
      <c r="J44" s="618"/>
      <c r="K44" s="618"/>
      <c r="L44" s="616">
        <f>J44-K44</f>
        <v>0</v>
      </c>
      <c r="M44" s="618"/>
      <c r="N44" s="618"/>
      <c r="O44" s="618"/>
      <c r="P44" s="618"/>
      <c r="Q44" s="618"/>
      <c r="R44" s="618">
        <f t="shared" si="27"/>
        <v>0</v>
      </c>
      <c r="S44" s="618">
        <f t="shared" si="28"/>
        <v>0</v>
      </c>
      <c r="T44" s="576">
        <v>0</v>
      </c>
      <c r="U44" s="491"/>
      <c r="V44" s="491"/>
      <c r="W44" s="492"/>
      <c r="X44" s="492"/>
      <c r="Y44" s="492"/>
      <c r="Z44" s="493"/>
      <c r="AA44" s="493"/>
    </row>
    <row r="45" spans="1:27" ht="15.75" thickBot="1" x14ac:dyDescent="0.3">
      <c r="A45" s="66"/>
      <c r="B45" s="94" t="s">
        <v>23</v>
      </c>
      <c r="C45" s="64"/>
      <c r="D45" s="35">
        <f>SUM(D42:D44)</f>
        <v>0</v>
      </c>
      <c r="E45" s="35">
        <f t="shared" ref="E45:S45" si="29">SUM(E42:E44)</f>
        <v>0</v>
      </c>
      <c r="F45" s="620">
        <f>D45-E45</f>
        <v>0</v>
      </c>
      <c r="G45" s="35">
        <f t="shared" si="29"/>
        <v>0</v>
      </c>
      <c r="H45" s="35">
        <f t="shared" si="29"/>
        <v>0</v>
      </c>
      <c r="I45" s="620">
        <f t="shared" si="29"/>
        <v>0</v>
      </c>
      <c r="J45" s="35">
        <f t="shared" si="29"/>
        <v>0</v>
      </c>
      <c r="K45" s="35">
        <f t="shared" si="29"/>
        <v>0</v>
      </c>
      <c r="L45" s="620">
        <f t="shared" si="29"/>
        <v>0</v>
      </c>
      <c r="M45" s="35">
        <f t="shared" si="29"/>
        <v>0</v>
      </c>
      <c r="N45" s="35">
        <f t="shared" si="29"/>
        <v>0</v>
      </c>
      <c r="O45" s="620">
        <f t="shared" si="29"/>
        <v>0</v>
      </c>
      <c r="P45" s="35">
        <f t="shared" si="29"/>
        <v>43183.1</v>
      </c>
      <c r="Q45" s="35">
        <f t="shared" si="29"/>
        <v>43183.1</v>
      </c>
      <c r="R45" s="620">
        <f t="shared" si="29"/>
        <v>0</v>
      </c>
      <c r="S45" s="626">
        <f t="shared" si="29"/>
        <v>0</v>
      </c>
      <c r="T45" s="661">
        <v>0</v>
      </c>
      <c r="U45" s="475"/>
      <c r="V45" s="475"/>
      <c r="W45" s="498"/>
      <c r="X45" s="497"/>
      <c r="Y45" s="498"/>
      <c r="Z45" s="499"/>
      <c r="AA45" s="493"/>
    </row>
    <row r="46" spans="1:27" ht="15" customHeight="1" x14ac:dyDescent="0.25">
      <c r="A46" s="33" t="s">
        <v>51</v>
      </c>
      <c r="B46" s="681" t="s">
        <v>52</v>
      </c>
      <c r="C46" s="681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7"/>
      <c r="P46" s="623"/>
      <c r="Q46" s="623"/>
      <c r="R46" s="633"/>
      <c r="S46" s="627"/>
      <c r="T46" s="636"/>
      <c r="U46" s="495"/>
      <c r="V46" s="495"/>
      <c r="W46" s="475"/>
      <c r="X46" s="497"/>
      <c r="Y46" s="242"/>
      <c r="Z46" s="493"/>
      <c r="AA46" s="493"/>
    </row>
    <row r="47" spans="1:27" ht="36.75" customHeight="1" x14ac:dyDescent="0.25">
      <c r="A47" s="33"/>
      <c r="B47" s="726" t="s">
        <v>73</v>
      </c>
      <c r="C47" s="727"/>
      <c r="D47" s="616"/>
      <c r="E47" s="616"/>
      <c r="F47" s="616">
        <f t="shared" ref="F47:F48" si="30">D47-E47</f>
        <v>0</v>
      </c>
      <c r="G47" s="616"/>
      <c r="H47" s="616"/>
      <c r="I47" s="616">
        <f t="shared" ref="I47:I48" si="31">G47-H47</f>
        <v>0</v>
      </c>
      <c r="J47" s="616"/>
      <c r="K47" s="616"/>
      <c r="L47" s="616">
        <f>J47-K47</f>
        <v>0</v>
      </c>
      <c r="M47" s="616"/>
      <c r="N47" s="616"/>
      <c r="O47" s="629">
        <f>M47-N47</f>
        <v>0</v>
      </c>
      <c r="P47" s="616">
        <v>20039.2</v>
      </c>
      <c r="Q47" s="616">
        <v>20039.2</v>
      </c>
      <c r="R47" s="632">
        <f t="shared" ref="R47:R48" si="32">P47-Q47</f>
        <v>0</v>
      </c>
      <c r="S47" s="629">
        <f t="shared" ref="S47:S48" si="33">F47+I47+L47+O47+R47</f>
        <v>0</v>
      </c>
      <c r="T47" s="576">
        <v>0</v>
      </c>
      <c r="U47" s="501"/>
      <c r="V47" s="501"/>
      <c r="W47" s="492"/>
      <c r="X47" s="492"/>
      <c r="Y47" s="492"/>
      <c r="Z47" s="493"/>
      <c r="AA47" s="493"/>
    </row>
    <row r="48" spans="1:27" ht="35.25" customHeight="1" thickBot="1" x14ac:dyDescent="0.3">
      <c r="A48" s="33"/>
      <c r="B48" s="724" t="s">
        <v>74</v>
      </c>
      <c r="C48" s="725"/>
      <c r="D48" s="618">
        <v>6884.2</v>
      </c>
      <c r="E48" s="618">
        <v>6884.2</v>
      </c>
      <c r="F48" s="616">
        <f t="shared" si="30"/>
        <v>0</v>
      </c>
      <c r="G48" s="618"/>
      <c r="H48" s="618"/>
      <c r="I48" s="616">
        <f t="shared" si="31"/>
        <v>0</v>
      </c>
      <c r="J48" s="618"/>
      <c r="K48" s="618"/>
      <c r="L48" s="616">
        <f>J48-K48</f>
        <v>0</v>
      </c>
      <c r="M48" s="618"/>
      <c r="N48" s="618"/>
      <c r="O48" s="630"/>
      <c r="P48" s="618"/>
      <c r="Q48" s="618"/>
      <c r="R48" s="634">
        <f t="shared" si="32"/>
        <v>0</v>
      </c>
      <c r="S48" s="630">
        <f t="shared" si="33"/>
        <v>0</v>
      </c>
      <c r="T48" s="576">
        <v>0</v>
      </c>
      <c r="U48" s="501"/>
      <c r="V48" s="501"/>
      <c r="W48" s="492"/>
      <c r="X48" s="497"/>
      <c r="Y48" s="492"/>
      <c r="Z48" s="497"/>
      <c r="AA48" s="493"/>
    </row>
    <row r="49" spans="1:27" ht="15.75" thickBot="1" x14ac:dyDescent="0.3">
      <c r="A49" s="66"/>
      <c r="B49" s="94" t="s">
        <v>23</v>
      </c>
      <c r="C49" s="64"/>
      <c r="D49" s="35">
        <f>SUM(D46:D48)</f>
        <v>6884.2</v>
      </c>
      <c r="E49" s="35">
        <f t="shared" ref="E49:S49" si="34">SUM(E46:E48)</f>
        <v>6884.2</v>
      </c>
      <c r="F49" s="620">
        <f t="shared" si="34"/>
        <v>0</v>
      </c>
      <c r="G49" s="35">
        <f t="shared" si="34"/>
        <v>0</v>
      </c>
      <c r="H49" s="35">
        <f t="shared" si="34"/>
        <v>0</v>
      </c>
      <c r="I49" s="620">
        <f t="shared" si="34"/>
        <v>0</v>
      </c>
      <c r="J49" s="35">
        <f t="shared" si="34"/>
        <v>0</v>
      </c>
      <c r="K49" s="35">
        <f t="shared" si="34"/>
        <v>0</v>
      </c>
      <c r="L49" s="620">
        <f t="shared" si="34"/>
        <v>0</v>
      </c>
      <c r="M49" s="35">
        <f t="shared" si="34"/>
        <v>0</v>
      </c>
      <c r="N49" s="35">
        <f t="shared" si="34"/>
        <v>0</v>
      </c>
      <c r="O49" s="620">
        <f t="shared" si="34"/>
        <v>0</v>
      </c>
      <c r="P49" s="35">
        <f t="shared" si="34"/>
        <v>20039.2</v>
      </c>
      <c r="Q49" s="35">
        <f t="shared" si="34"/>
        <v>20039.2</v>
      </c>
      <c r="R49" s="662">
        <f t="shared" si="34"/>
        <v>0</v>
      </c>
      <c r="S49" s="620">
        <f t="shared" si="34"/>
        <v>0</v>
      </c>
      <c r="T49" s="661">
        <v>0</v>
      </c>
      <c r="U49" s="475"/>
      <c r="V49" s="475"/>
      <c r="W49" s="498"/>
      <c r="X49" s="497"/>
      <c r="Y49" s="498"/>
      <c r="Z49" s="493"/>
      <c r="AA49" s="493"/>
    </row>
    <row r="50" spans="1:27" ht="15" customHeight="1" x14ac:dyDescent="0.25">
      <c r="A50" s="33" t="s">
        <v>53</v>
      </c>
      <c r="B50" s="681" t="s">
        <v>160</v>
      </c>
      <c r="C50" s="681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3"/>
      <c r="R50" s="623"/>
      <c r="S50" s="623"/>
      <c r="T50" s="74"/>
      <c r="U50" s="495"/>
      <c r="V50" s="495"/>
      <c r="W50" s="475"/>
      <c r="X50" s="492"/>
      <c r="Y50" s="242"/>
      <c r="Z50" s="493"/>
      <c r="AA50" s="493"/>
    </row>
    <row r="51" spans="1:27" ht="33.75" customHeight="1" x14ac:dyDescent="0.25">
      <c r="A51" s="33"/>
      <c r="B51" s="726" t="s">
        <v>73</v>
      </c>
      <c r="C51" s="727"/>
      <c r="D51" s="641">
        <v>31029.8</v>
      </c>
      <c r="E51" s="616">
        <v>26408.9</v>
      </c>
      <c r="F51" s="616">
        <f>D51-E51</f>
        <v>4620.8999999999978</v>
      </c>
      <c r="G51" s="616"/>
      <c r="H51" s="616"/>
      <c r="I51" s="616"/>
      <c r="J51" s="616"/>
      <c r="K51" s="616"/>
      <c r="L51" s="616"/>
      <c r="M51" s="616"/>
      <c r="N51" s="616"/>
      <c r="O51" s="616">
        <f>M51-N51</f>
        <v>0</v>
      </c>
      <c r="P51" s="616">
        <v>12529.2</v>
      </c>
      <c r="Q51" s="616">
        <v>12529.2</v>
      </c>
      <c r="R51" s="616">
        <f t="shared" ref="R51:R52" si="35">P51-Q51</f>
        <v>0</v>
      </c>
      <c r="S51" s="616">
        <f t="shared" ref="S51:S52" si="36">F51+I51+L51+O51+R51</f>
        <v>4620.8999999999978</v>
      </c>
      <c r="T51" s="576">
        <f>S51/D51</f>
        <v>0.14891813675885754</v>
      </c>
      <c r="U51" s="491"/>
      <c r="V51" s="491"/>
      <c r="W51" s="492"/>
      <c r="X51" s="492"/>
      <c r="Y51" s="492"/>
      <c r="Z51" s="494"/>
      <c r="AA51" s="493"/>
    </row>
    <row r="52" spans="1:27" ht="36" customHeight="1" thickBot="1" x14ac:dyDescent="0.3">
      <c r="A52" s="33"/>
      <c r="B52" s="724" t="s">
        <v>74</v>
      </c>
      <c r="C52" s="725"/>
      <c r="D52" s="618">
        <v>3681.6</v>
      </c>
      <c r="E52" s="618">
        <v>3681.6</v>
      </c>
      <c r="F52" s="618">
        <f t="shared" ref="F52" si="37">D52-E52</f>
        <v>0</v>
      </c>
      <c r="G52" s="618"/>
      <c r="H52" s="618"/>
      <c r="I52" s="618">
        <f t="shared" ref="I52" si="38">G52-H52</f>
        <v>0</v>
      </c>
      <c r="J52" s="618"/>
      <c r="K52" s="618"/>
      <c r="L52" s="618"/>
      <c r="M52" s="618"/>
      <c r="N52" s="618"/>
      <c r="O52" s="618"/>
      <c r="P52" s="618"/>
      <c r="Q52" s="618"/>
      <c r="R52" s="618">
        <f t="shared" si="35"/>
        <v>0</v>
      </c>
      <c r="S52" s="618">
        <f t="shared" si="36"/>
        <v>0</v>
      </c>
      <c r="T52" s="576">
        <v>0</v>
      </c>
      <c r="U52" s="491"/>
      <c r="V52" s="491"/>
      <c r="W52" s="492"/>
      <c r="X52" s="492"/>
      <c r="Y52" s="492"/>
      <c r="Z52" s="493"/>
      <c r="AA52" s="493"/>
    </row>
    <row r="53" spans="1:27" ht="15.75" thickBot="1" x14ac:dyDescent="0.3">
      <c r="A53" s="66"/>
      <c r="B53" s="94" t="s">
        <v>23</v>
      </c>
      <c r="C53" s="64"/>
      <c r="D53" s="35">
        <f>SUM(D50:D52)</f>
        <v>34711.4</v>
      </c>
      <c r="E53" s="35">
        <f t="shared" ref="E53:R53" si="39">SUM(E50:E52)</f>
        <v>30090.5</v>
      </c>
      <c r="F53" s="620">
        <f t="shared" si="39"/>
        <v>4620.8999999999978</v>
      </c>
      <c r="G53" s="35">
        <f t="shared" si="39"/>
        <v>0</v>
      </c>
      <c r="H53" s="693">
        <f t="shared" si="39"/>
        <v>0</v>
      </c>
      <c r="I53" s="620">
        <f t="shared" si="39"/>
        <v>0</v>
      </c>
      <c r="J53" s="624">
        <f t="shared" si="39"/>
        <v>0</v>
      </c>
      <c r="K53" s="35">
        <f t="shared" si="39"/>
        <v>0</v>
      </c>
      <c r="L53" s="620">
        <f t="shared" si="39"/>
        <v>0</v>
      </c>
      <c r="M53" s="35">
        <f t="shared" si="39"/>
        <v>0</v>
      </c>
      <c r="N53" s="35">
        <f t="shared" si="39"/>
        <v>0</v>
      </c>
      <c r="O53" s="620">
        <f t="shared" si="39"/>
        <v>0</v>
      </c>
      <c r="P53" s="35">
        <f t="shared" si="39"/>
        <v>12529.2</v>
      </c>
      <c r="Q53" s="35">
        <f t="shared" si="39"/>
        <v>12529.2</v>
      </c>
      <c r="R53" s="620">
        <f t="shared" si="39"/>
        <v>0</v>
      </c>
      <c r="S53" s="620">
        <f>SUM(S50:S52)</f>
        <v>4620.8999999999978</v>
      </c>
      <c r="T53" s="661">
        <v>0.13300000000000001</v>
      </c>
      <c r="U53" s="475"/>
      <c r="V53" s="475"/>
      <c r="W53" s="498"/>
      <c r="X53" s="497"/>
      <c r="Y53" s="498"/>
      <c r="Z53" s="499"/>
      <c r="AA53" s="493"/>
    </row>
    <row r="54" spans="1:27" ht="15" customHeight="1" x14ac:dyDescent="0.25">
      <c r="A54" s="33" t="s">
        <v>55</v>
      </c>
      <c r="B54" s="681" t="s">
        <v>159</v>
      </c>
      <c r="C54" s="681"/>
      <c r="D54" s="623"/>
      <c r="E54" s="623"/>
      <c r="F54" s="623"/>
      <c r="G54" s="623"/>
      <c r="H54" s="627"/>
      <c r="I54" s="628"/>
      <c r="J54" s="633"/>
      <c r="K54" s="623"/>
      <c r="L54" s="623"/>
      <c r="M54" s="623"/>
      <c r="N54" s="623"/>
      <c r="O54" s="623"/>
      <c r="P54" s="623"/>
      <c r="Q54" s="623"/>
      <c r="R54" s="623"/>
      <c r="S54" s="623"/>
      <c r="T54" s="74"/>
      <c r="U54" s="495"/>
      <c r="V54" s="495"/>
      <c r="W54" s="475"/>
      <c r="X54" s="497"/>
      <c r="Y54" s="242"/>
      <c r="Z54" s="493"/>
      <c r="AA54" s="493"/>
    </row>
    <row r="55" spans="1:27" ht="30.75" customHeight="1" x14ac:dyDescent="0.25">
      <c r="A55" s="33"/>
      <c r="B55" s="726" t="s">
        <v>73</v>
      </c>
      <c r="C55" s="727"/>
      <c r="D55" s="616">
        <v>1243.0999999999999</v>
      </c>
      <c r="E55" s="616">
        <v>1093.9000000000001</v>
      </c>
      <c r="F55" s="616">
        <f>D55-E55</f>
        <v>149.19999999999982</v>
      </c>
      <c r="G55" s="616"/>
      <c r="H55" s="629"/>
      <c r="I55" s="616">
        <f t="shared" ref="I55:I56" si="40">G55-H55</f>
        <v>0</v>
      </c>
      <c r="J55" s="632"/>
      <c r="K55" s="616"/>
      <c r="L55" s="616">
        <f>J55-K55</f>
        <v>0</v>
      </c>
      <c r="M55" s="616"/>
      <c r="N55" s="616"/>
      <c r="O55" s="616">
        <f>M55-N55</f>
        <v>0</v>
      </c>
      <c r="P55" s="616"/>
      <c r="Q55" s="616"/>
      <c r="R55" s="616">
        <f t="shared" ref="R55:R56" si="41">P55-Q55</f>
        <v>0</v>
      </c>
      <c r="S55" s="616">
        <f t="shared" ref="S55:S56" si="42">F55+I55+L55+O55+R55</f>
        <v>149.19999999999982</v>
      </c>
      <c r="T55" s="576">
        <f>S55/D55</f>
        <v>0.12002252433432534</v>
      </c>
      <c r="U55" s="491"/>
      <c r="V55" s="491"/>
      <c r="W55" s="492"/>
      <c r="X55" s="492"/>
      <c r="Y55" s="492"/>
      <c r="Z55" s="493"/>
      <c r="AA55" s="493"/>
    </row>
    <row r="56" spans="1:27" ht="33.75" customHeight="1" thickBot="1" x14ac:dyDescent="0.3">
      <c r="A56" s="33"/>
      <c r="B56" s="724" t="s">
        <v>74</v>
      </c>
      <c r="C56" s="725"/>
      <c r="D56" s="618"/>
      <c r="E56" s="618"/>
      <c r="F56" s="616">
        <f>D56-E56</f>
        <v>0</v>
      </c>
      <c r="G56" s="618"/>
      <c r="H56" s="630"/>
      <c r="I56" s="618">
        <f t="shared" si="40"/>
        <v>0</v>
      </c>
      <c r="J56" s="634"/>
      <c r="K56" s="618"/>
      <c r="L56" s="618"/>
      <c r="M56" s="618"/>
      <c r="N56" s="618"/>
      <c r="O56" s="618"/>
      <c r="P56" s="618"/>
      <c r="Q56" s="618"/>
      <c r="R56" s="618">
        <f t="shared" si="41"/>
        <v>0</v>
      </c>
      <c r="S56" s="618">
        <f t="shared" si="42"/>
        <v>0</v>
      </c>
      <c r="T56" s="576">
        <v>0</v>
      </c>
      <c r="U56" s="491"/>
      <c r="V56" s="491"/>
      <c r="W56" s="492"/>
      <c r="X56" s="492"/>
      <c r="Y56" s="492"/>
      <c r="Z56" s="493"/>
      <c r="AA56" s="493"/>
    </row>
    <row r="57" spans="1:27" ht="15.75" thickBot="1" x14ac:dyDescent="0.3">
      <c r="A57" s="66"/>
      <c r="B57" s="64" t="s">
        <v>23</v>
      </c>
      <c r="C57" s="64"/>
      <c r="D57" s="35">
        <f>SUM(D54:D56)</f>
        <v>1243.0999999999999</v>
      </c>
      <c r="E57" s="35">
        <f t="shared" ref="E57:N57" si="43">SUM(E54:E56)</f>
        <v>1093.9000000000001</v>
      </c>
      <c r="F57" s="620">
        <f t="shared" si="43"/>
        <v>149.19999999999982</v>
      </c>
      <c r="G57" s="35">
        <f t="shared" si="43"/>
        <v>0</v>
      </c>
      <c r="H57" s="35">
        <f t="shared" si="43"/>
        <v>0</v>
      </c>
      <c r="I57" s="620">
        <f t="shared" si="43"/>
        <v>0</v>
      </c>
      <c r="J57" s="35">
        <f t="shared" si="43"/>
        <v>0</v>
      </c>
      <c r="K57" s="35">
        <f t="shared" si="43"/>
        <v>0</v>
      </c>
      <c r="L57" s="620">
        <f t="shared" si="43"/>
        <v>0</v>
      </c>
      <c r="M57" s="35">
        <f t="shared" si="43"/>
        <v>0</v>
      </c>
      <c r="N57" s="35">
        <f t="shared" si="43"/>
        <v>0</v>
      </c>
      <c r="O57" s="620">
        <f>SUM(O54:O56)</f>
        <v>0</v>
      </c>
      <c r="P57" s="35">
        <f t="shared" ref="P57:R57" si="44">SUM(P54:P56)</f>
        <v>0</v>
      </c>
      <c r="Q57" s="35">
        <f t="shared" si="44"/>
        <v>0</v>
      </c>
      <c r="R57" s="620">
        <f t="shared" si="44"/>
        <v>0</v>
      </c>
      <c r="S57" s="620">
        <f>SUM(S54:S56)</f>
        <v>149.19999999999982</v>
      </c>
      <c r="T57" s="661">
        <v>0.12</v>
      </c>
      <c r="U57" s="475"/>
      <c r="V57" s="475"/>
      <c r="W57" s="502"/>
      <c r="X57" s="497"/>
      <c r="Y57" s="498"/>
      <c r="Z57" s="499"/>
      <c r="AA57" s="493"/>
    </row>
    <row r="58" spans="1:27" x14ac:dyDescent="0.25">
      <c r="A58" s="33" t="s">
        <v>57</v>
      </c>
      <c r="B58" s="681" t="s">
        <v>158</v>
      </c>
      <c r="C58" s="681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3"/>
      <c r="R58" s="623"/>
      <c r="S58" s="623"/>
      <c r="T58" s="74"/>
      <c r="U58" s="495"/>
      <c r="V58" s="495"/>
      <c r="W58" s="475"/>
      <c r="X58" s="497"/>
      <c r="Y58" s="242"/>
      <c r="Z58" s="493"/>
      <c r="AA58" s="493"/>
    </row>
    <row r="59" spans="1:27" ht="33" customHeight="1" x14ac:dyDescent="0.25">
      <c r="A59" s="33"/>
      <c r="B59" s="726" t="s">
        <v>73</v>
      </c>
      <c r="C59" s="727"/>
      <c r="D59" s="641">
        <v>715.8</v>
      </c>
      <c r="E59" s="616">
        <v>712.2</v>
      </c>
      <c r="F59" s="631">
        <f>D59-E59</f>
        <v>3.5999999999999091</v>
      </c>
      <c r="G59" s="616"/>
      <c r="H59" s="616"/>
      <c r="I59" s="616">
        <f t="shared" ref="I59:I60" si="45">G59-H59</f>
        <v>0</v>
      </c>
      <c r="J59" s="616"/>
      <c r="K59" s="616"/>
      <c r="L59" s="616">
        <f>J59-K59</f>
        <v>0</v>
      </c>
      <c r="M59" s="616"/>
      <c r="N59" s="616"/>
      <c r="O59" s="616">
        <f>M59-N59</f>
        <v>0</v>
      </c>
      <c r="P59" s="616">
        <v>3627.9</v>
      </c>
      <c r="Q59" s="616">
        <v>3627.9</v>
      </c>
      <c r="R59" s="616">
        <f t="shared" ref="R59:R60" si="46">P59-Q59</f>
        <v>0</v>
      </c>
      <c r="S59" s="616">
        <f>F59+I59+L59+O59+R59</f>
        <v>3.5999999999999091</v>
      </c>
      <c r="T59" s="576">
        <f>S59/D59</f>
        <v>5.0293378038556991E-3</v>
      </c>
      <c r="U59" s="491"/>
      <c r="V59" s="491"/>
      <c r="W59" s="492"/>
      <c r="X59" s="492"/>
      <c r="Y59" s="492"/>
      <c r="Z59" s="494"/>
      <c r="AA59" s="493"/>
    </row>
    <row r="60" spans="1:27" ht="34.5" customHeight="1" thickBot="1" x14ac:dyDescent="0.3">
      <c r="A60" s="33"/>
      <c r="B60" s="724" t="s">
        <v>74</v>
      </c>
      <c r="C60" s="725"/>
      <c r="D60" s="618">
        <v>3087.7</v>
      </c>
      <c r="E60" s="618">
        <v>3087.7</v>
      </c>
      <c r="F60" s="618">
        <f t="shared" ref="F60" si="47">D60-E60</f>
        <v>0</v>
      </c>
      <c r="G60" s="618"/>
      <c r="H60" s="618"/>
      <c r="I60" s="618">
        <f t="shared" si="45"/>
        <v>0</v>
      </c>
      <c r="J60" s="618"/>
      <c r="K60" s="618"/>
      <c r="L60" s="618"/>
      <c r="M60" s="618"/>
      <c r="N60" s="618"/>
      <c r="O60" s="618"/>
      <c r="P60" s="618"/>
      <c r="Q60" s="618"/>
      <c r="R60" s="618">
        <f t="shared" si="46"/>
        <v>0</v>
      </c>
      <c r="S60" s="618">
        <f t="shared" ref="S60" si="48">F60+I60+L60+O60+R60</f>
        <v>0</v>
      </c>
      <c r="T60" s="576">
        <v>0</v>
      </c>
      <c r="U60" s="491"/>
      <c r="V60" s="491"/>
      <c r="W60" s="503"/>
      <c r="X60" s="497"/>
      <c r="Y60" s="492"/>
      <c r="Z60" s="493"/>
      <c r="AA60" s="493"/>
    </row>
    <row r="61" spans="1:27" ht="15.75" thickBot="1" x14ac:dyDescent="0.3">
      <c r="A61" s="66"/>
      <c r="B61" s="94" t="s">
        <v>23</v>
      </c>
      <c r="C61" s="64"/>
      <c r="D61" s="35">
        <f>SUM(D58:D60)</f>
        <v>3803.5</v>
      </c>
      <c r="E61" s="35">
        <f t="shared" ref="E61:R61" si="49">SUM(E58:E60)</f>
        <v>3799.8999999999996</v>
      </c>
      <c r="F61" s="620">
        <f t="shared" si="49"/>
        <v>3.5999999999999091</v>
      </c>
      <c r="G61" s="35">
        <f t="shared" si="49"/>
        <v>0</v>
      </c>
      <c r="H61" s="35">
        <f t="shared" si="49"/>
        <v>0</v>
      </c>
      <c r="I61" s="620">
        <f t="shared" si="49"/>
        <v>0</v>
      </c>
      <c r="J61" s="35">
        <f t="shared" si="49"/>
        <v>0</v>
      </c>
      <c r="K61" s="35">
        <f t="shared" si="49"/>
        <v>0</v>
      </c>
      <c r="L61" s="620">
        <f t="shared" si="49"/>
        <v>0</v>
      </c>
      <c r="M61" s="35">
        <f t="shared" si="49"/>
        <v>0</v>
      </c>
      <c r="N61" s="35">
        <f t="shared" si="49"/>
        <v>0</v>
      </c>
      <c r="O61" s="620">
        <f t="shared" si="49"/>
        <v>0</v>
      </c>
      <c r="P61" s="35">
        <f t="shared" si="49"/>
        <v>3627.9</v>
      </c>
      <c r="Q61" s="35">
        <f t="shared" si="49"/>
        <v>3627.9</v>
      </c>
      <c r="R61" s="620">
        <f t="shared" si="49"/>
        <v>0</v>
      </c>
      <c r="S61" s="620">
        <f>SUM(S58:S60)</f>
        <v>3.5999999999999091</v>
      </c>
      <c r="T61" s="661">
        <v>1E-3</v>
      </c>
      <c r="U61" s="475"/>
      <c r="V61" s="475"/>
      <c r="W61" s="498"/>
      <c r="X61" s="242"/>
      <c r="Y61" s="498"/>
      <c r="Z61" s="499"/>
      <c r="AA61" s="493"/>
    </row>
    <row r="62" spans="1:27" x14ac:dyDescent="0.25">
      <c r="A62" s="33" t="s">
        <v>60</v>
      </c>
      <c r="B62" s="681" t="s">
        <v>157</v>
      </c>
      <c r="C62" s="681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  <c r="T62" s="74"/>
      <c r="U62" s="495"/>
      <c r="V62" s="495"/>
      <c r="W62" s="475"/>
      <c r="X62" s="492"/>
      <c r="Y62" s="242"/>
      <c r="Z62" s="493"/>
      <c r="AA62" s="493"/>
    </row>
    <row r="63" spans="1:27" ht="33.75" customHeight="1" x14ac:dyDescent="0.25">
      <c r="A63" s="33"/>
      <c r="B63" s="726" t="s">
        <v>73</v>
      </c>
      <c r="C63" s="727"/>
      <c r="D63" s="616">
        <v>16536.2</v>
      </c>
      <c r="E63" s="616">
        <v>14027.2</v>
      </c>
      <c r="F63" s="616">
        <f>D63-E63</f>
        <v>2509</v>
      </c>
      <c r="G63" s="616"/>
      <c r="H63" s="616"/>
      <c r="I63" s="616">
        <f t="shared" ref="I63:I64" si="50">G63-H63</f>
        <v>0</v>
      </c>
      <c r="J63" s="616">
        <v>522</v>
      </c>
      <c r="K63" s="616">
        <v>157</v>
      </c>
      <c r="L63" s="616">
        <f>J63-K63</f>
        <v>365</v>
      </c>
      <c r="M63" s="616"/>
      <c r="N63" s="616"/>
      <c r="O63" s="616">
        <f>M63-N63</f>
        <v>0</v>
      </c>
      <c r="P63" s="616">
        <v>2023.9</v>
      </c>
      <c r="Q63" s="616">
        <v>2023.9</v>
      </c>
      <c r="R63" s="616">
        <f t="shared" ref="R63:R64" si="51">P63-Q63</f>
        <v>0</v>
      </c>
      <c r="S63" s="616">
        <f>F63+I63+L63+O63+R63</f>
        <v>2874</v>
      </c>
      <c r="T63" s="576">
        <f>S63/(D63+J63)</f>
        <v>0.16848202037729654</v>
      </c>
      <c r="U63" s="491"/>
      <c r="V63" s="491"/>
      <c r="W63" s="475"/>
      <c r="X63" s="492"/>
      <c r="Y63" s="492"/>
      <c r="Z63" s="493"/>
      <c r="AA63" s="493"/>
    </row>
    <row r="64" spans="1:27" ht="32.25" customHeight="1" thickBot="1" x14ac:dyDescent="0.3">
      <c r="A64" s="33"/>
      <c r="B64" s="724" t="s">
        <v>74</v>
      </c>
      <c r="C64" s="725"/>
      <c r="D64" s="618">
        <v>83126.8</v>
      </c>
      <c r="E64" s="618">
        <v>82581.600000000006</v>
      </c>
      <c r="F64" s="618">
        <f>D64-E64</f>
        <v>545.19999999999709</v>
      </c>
      <c r="G64" s="618"/>
      <c r="H64" s="618"/>
      <c r="I64" s="618">
        <f t="shared" si="50"/>
        <v>0</v>
      </c>
      <c r="J64" s="618">
        <v>4413.2</v>
      </c>
      <c r="K64" s="618">
        <v>4413.2</v>
      </c>
      <c r="L64" s="616">
        <f>J64-K64</f>
        <v>0</v>
      </c>
      <c r="M64" s="618"/>
      <c r="N64" s="618"/>
      <c r="O64" s="618"/>
      <c r="P64" s="618"/>
      <c r="Q64" s="618"/>
      <c r="R64" s="618">
        <f t="shared" si="51"/>
        <v>0</v>
      </c>
      <c r="S64" s="618">
        <f t="shared" ref="S64" si="52">F64+I64+L64+O64+R64</f>
        <v>545.19999999999709</v>
      </c>
      <c r="T64" s="576">
        <f>S64/(D64+J64)</f>
        <v>6.2280100525473735E-3</v>
      </c>
      <c r="U64" s="491"/>
      <c r="V64" s="491"/>
      <c r="W64" s="492"/>
      <c r="X64" s="492"/>
      <c r="Y64" s="492"/>
      <c r="Z64" s="493"/>
      <c r="AA64" s="493"/>
    </row>
    <row r="65" spans="1:27" ht="15.75" thickBot="1" x14ac:dyDescent="0.3">
      <c r="A65" s="66"/>
      <c r="B65" s="94" t="s">
        <v>23</v>
      </c>
      <c r="C65" s="64"/>
      <c r="D65" s="35">
        <f>SUM(D62:D64)</f>
        <v>99663</v>
      </c>
      <c r="E65" s="693">
        <f>SUM(E62:E64)</f>
        <v>96608.8</v>
      </c>
      <c r="F65" s="620">
        <f>SUM(F62:F64)</f>
        <v>3054.1999999999971</v>
      </c>
      <c r="G65" s="624">
        <f t="shared" ref="G65:R65" si="53">SUM(G62:G64)</f>
        <v>0</v>
      </c>
      <c r="H65" s="35">
        <f t="shared" si="53"/>
        <v>0</v>
      </c>
      <c r="I65" s="626">
        <f t="shared" si="53"/>
        <v>0</v>
      </c>
      <c r="J65" s="35">
        <f t="shared" si="53"/>
        <v>4935.2</v>
      </c>
      <c r="K65" s="35">
        <f t="shared" si="53"/>
        <v>4570.2</v>
      </c>
      <c r="L65" s="662">
        <f t="shared" si="53"/>
        <v>365</v>
      </c>
      <c r="M65" s="35">
        <f t="shared" si="53"/>
        <v>0</v>
      </c>
      <c r="N65" s="35">
        <f t="shared" si="53"/>
        <v>0</v>
      </c>
      <c r="O65" s="620">
        <f t="shared" si="53"/>
        <v>0</v>
      </c>
      <c r="P65" s="35">
        <f t="shared" si="53"/>
        <v>2023.9</v>
      </c>
      <c r="Q65" s="35">
        <f t="shared" si="53"/>
        <v>2023.9</v>
      </c>
      <c r="R65" s="620">
        <f t="shared" si="53"/>
        <v>0</v>
      </c>
      <c r="S65" s="620">
        <f>SUM(S62:S64)</f>
        <v>3419.1999999999971</v>
      </c>
      <c r="T65" s="661">
        <f>S65/(D65+J65)</f>
        <v>3.2688899044151787E-2</v>
      </c>
      <c r="U65" s="475"/>
      <c r="V65" s="475"/>
      <c r="W65" s="498"/>
      <c r="X65" s="503"/>
      <c r="Y65" s="498"/>
      <c r="Z65" s="499"/>
      <c r="AA65" s="493"/>
    </row>
    <row r="66" spans="1:27" ht="15" customHeight="1" x14ac:dyDescent="0.25">
      <c r="A66" s="33" t="s">
        <v>61</v>
      </c>
      <c r="B66" s="681" t="s">
        <v>62</v>
      </c>
      <c r="C66" s="681"/>
      <c r="D66" s="623"/>
      <c r="E66" s="627"/>
      <c r="F66" s="628"/>
      <c r="G66" s="633"/>
      <c r="H66" s="623"/>
      <c r="I66" s="627"/>
      <c r="J66" s="628"/>
      <c r="K66" s="628"/>
      <c r="L66" s="633"/>
      <c r="M66" s="623"/>
      <c r="N66" s="623"/>
      <c r="O66" s="623"/>
      <c r="P66" s="623"/>
      <c r="Q66" s="623"/>
      <c r="R66" s="623"/>
      <c r="S66" s="623"/>
      <c r="T66" s="74"/>
      <c r="U66" s="495"/>
      <c r="V66" s="495"/>
      <c r="W66" s="475"/>
      <c r="X66" s="504"/>
      <c r="Y66" s="504"/>
      <c r="Z66" s="493"/>
      <c r="AA66" s="493"/>
    </row>
    <row r="67" spans="1:27" ht="32.25" customHeight="1" x14ac:dyDescent="0.25">
      <c r="A67" s="33"/>
      <c r="B67" s="726" t="s">
        <v>73</v>
      </c>
      <c r="C67" s="727"/>
      <c r="D67" s="641">
        <v>33496.199999999997</v>
      </c>
      <c r="E67" s="629">
        <v>26445.5</v>
      </c>
      <c r="F67" s="694">
        <v>5952.8</v>
      </c>
      <c r="G67" s="632"/>
      <c r="H67" s="616"/>
      <c r="I67" s="629">
        <f>G67-H67</f>
        <v>0</v>
      </c>
      <c r="J67" s="692"/>
      <c r="K67" s="692"/>
      <c r="L67" s="632"/>
      <c r="M67" s="616"/>
      <c r="N67" s="616"/>
      <c r="O67" s="616">
        <f>M67-N67</f>
        <v>0</v>
      </c>
      <c r="P67" s="616">
        <v>27385.5</v>
      </c>
      <c r="Q67" s="616">
        <v>27385.5</v>
      </c>
      <c r="R67" s="616">
        <f>P67-Q67</f>
        <v>0</v>
      </c>
      <c r="S67" s="616">
        <f>F67</f>
        <v>5952.8</v>
      </c>
      <c r="T67" s="576">
        <f>S67/D67</f>
        <v>0.17771568118174602</v>
      </c>
      <c r="U67" s="491"/>
      <c r="V67" s="491"/>
      <c r="W67" s="492"/>
      <c r="X67" s="492"/>
      <c r="Y67" s="492"/>
      <c r="Z67" s="493"/>
      <c r="AA67" s="493"/>
    </row>
    <row r="68" spans="1:27" ht="34.5" customHeight="1" thickBot="1" x14ac:dyDescent="0.3">
      <c r="A68" s="33"/>
      <c r="B68" s="724" t="s">
        <v>74</v>
      </c>
      <c r="C68" s="725"/>
      <c r="D68" s="618">
        <v>147651.9</v>
      </c>
      <c r="E68" s="630">
        <v>147642.20000000001</v>
      </c>
      <c r="F68" s="618">
        <f>D68-E68</f>
        <v>9.6999999999825377</v>
      </c>
      <c r="G68" s="634"/>
      <c r="H68" s="618"/>
      <c r="I68" s="629">
        <f>G68-H68</f>
        <v>0</v>
      </c>
      <c r="J68" s="642">
        <f>10969.6+26493+26426.9+24960.2+16500</f>
        <v>105349.7</v>
      </c>
      <c r="K68" s="618">
        <v>104487.5</v>
      </c>
      <c r="L68" s="634">
        <f>J68-K68</f>
        <v>862.19999999999709</v>
      </c>
      <c r="M68" s="618"/>
      <c r="N68" s="618"/>
      <c r="O68" s="618"/>
      <c r="P68" s="618"/>
      <c r="Q68" s="618"/>
      <c r="R68" s="618">
        <v>0</v>
      </c>
      <c r="S68" s="618">
        <f>F68</f>
        <v>9.6999999999825377</v>
      </c>
      <c r="T68" s="576">
        <f>S68/D68</f>
        <v>6.5695057090240887E-5</v>
      </c>
      <c r="U68" s="491"/>
      <c r="V68" s="491"/>
      <c r="W68" s="491"/>
      <c r="X68" s="503"/>
      <c r="Y68" s="503"/>
      <c r="Z68" s="493"/>
      <c r="AA68" s="493"/>
    </row>
    <row r="69" spans="1:27" ht="15.75" thickBot="1" x14ac:dyDescent="0.3">
      <c r="A69" s="688"/>
      <c r="B69" s="683" t="s">
        <v>23</v>
      </c>
      <c r="C69" s="683"/>
      <c r="D69" s="684">
        <f>SUM(D66:D68)</f>
        <v>181148.09999999998</v>
      </c>
      <c r="E69" s="684">
        <f>SUM(E66:E68)</f>
        <v>174087.7</v>
      </c>
      <c r="F69" s="685">
        <f>F67+F68</f>
        <v>5962.4999999999827</v>
      </c>
      <c r="G69" s="684">
        <f>SUM(G66:G68)</f>
        <v>0</v>
      </c>
      <c r="H69" s="684">
        <f>SUM(H66:H68)</f>
        <v>0</v>
      </c>
      <c r="I69" s="685">
        <f t="shared" si="5"/>
        <v>0</v>
      </c>
      <c r="J69" s="684">
        <f>J68</f>
        <v>105349.7</v>
      </c>
      <c r="K69" s="684">
        <f>K68</f>
        <v>104487.5</v>
      </c>
      <c r="L69" s="685">
        <f>L68</f>
        <v>862.19999999999709</v>
      </c>
      <c r="M69" s="684">
        <f>M67</f>
        <v>0</v>
      </c>
      <c r="N69" s="684">
        <f>N67</f>
        <v>0</v>
      </c>
      <c r="O69" s="685">
        <v>0</v>
      </c>
      <c r="P69" s="684">
        <f>SUM(P66:P68)</f>
        <v>27385.5</v>
      </c>
      <c r="Q69" s="684">
        <f>SUM(Q66:Q68)</f>
        <v>27385.5</v>
      </c>
      <c r="R69" s="685">
        <f t="shared" si="0"/>
        <v>0</v>
      </c>
      <c r="S69" s="686">
        <f>F69+I69+L69+O69+R69</f>
        <v>6824.6999999999798</v>
      </c>
      <c r="T69" s="687">
        <v>2.4E-2</v>
      </c>
      <c r="U69" s="475"/>
      <c r="V69" s="475"/>
      <c r="W69" s="498"/>
      <c r="X69" s="503"/>
      <c r="Y69" s="498"/>
      <c r="Z69" s="497"/>
      <c r="AA69" s="493"/>
    </row>
    <row r="70" spans="1:27" ht="16.5" thickBot="1" x14ac:dyDescent="0.3">
      <c r="A70" s="689"/>
      <c r="B70" s="690" t="s">
        <v>63</v>
      </c>
      <c r="C70" s="691"/>
      <c r="D70" s="684">
        <f>D17+D21+D25+D29+D33+D37+D41+D45+D49+D53+D57+D61+D65+D69</f>
        <v>480829</v>
      </c>
      <c r="E70" s="684">
        <f>E17+E21+E25+E29+E33+E37+E41+E45+E49+E53+E57+E61+E65+E69</f>
        <v>454709</v>
      </c>
      <c r="F70" s="685">
        <f>F17+F21+F25+F29+F33+F37+F41+F45+F49+F53+F57+F61+F65+F69</f>
        <v>25022.099999999973</v>
      </c>
      <c r="G70" s="684">
        <f>G17+G21+G25+G29+G33+G37+G41+G45+G49+G53+G57+G61+G65+G69</f>
        <v>0</v>
      </c>
      <c r="H70" s="684">
        <f t="shared" ref="H70:R70" si="54">H17+H21+H25+H29+H33+H37+H41+H45+H49+H53+H57+H61+H65+H69</f>
        <v>0</v>
      </c>
      <c r="I70" s="685">
        <f>I17+I21+I25+I29+I33+I37+I41+I45+I49+I53+I57+I61+I65+I69</f>
        <v>0</v>
      </c>
      <c r="J70" s="684">
        <f>J17+J21+J25+J29+J33+J37+J41+J45+J49+J53+J57+J61+J65+J69</f>
        <v>110284.9</v>
      </c>
      <c r="K70" s="684">
        <f t="shared" si="54"/>
        <v>109057.7</v>
      </c>
      <c r="L70" s="685">
        <f>L65+L69</f>
        <v>1227.1999999999971</v>
      </c>
      <c r="M70" s="684">
        <f>M17+M21+M25+M29+M33+M37+M41+M45+M49+M53+M57+M61+M65+M69</f>
        <v>0</v>
      </c>
      <c r="N70" s="684">
        <f>N17+N21+N25+N29+N33+N37+N41+N45+N49+N53+N57+N61+N65+N69</f>
        <v>0</v>
      </c>
      <c r="O70" s="685">
        <f>O17+O21+O25+O29+O33+O37+O41+O45+O49+O53+O57+O61+O65+O69</f>
        <v>0</v>
      </c>
      <c r="P70" s="684">
        <f>P17+P21+P25+P29+P33+P37+P41+P45+P49+P53+P57+P61+P65+P69</f>
        <v>356463.40000000008</v>
      </c>
      <c r="Q70" s="684">
        <f>Q17+Q21+Q25+Q29+Q33+Q37+Q41+Q45+Q49+Q53+Q57+Q61+Q65+Q69</f>
        <v>356463.40000000008</v>
      </c>
      <c r="R70" s="685">
        <f t="shared" si="54"/>
        <v>0</v>
      </c>
      <c r="S70" s="686">
        <f>S17+S21+S25+S29+S33+S37+S41+S45+S49+S53+S57+S61+S65+S69</f>
        <v>26249.29999999997</v>
      </c>
      <c r="T70" s="687">
        <v>4.3999999999999997E-2</v>
      </c>
      <c r="U70" s="475"/>
      <c r="V70" s="475"/>
      <c r="W70" s="579"/>
      <c r="X70" s="506"/>
      <c r="Y70" s="507"/>
      <c r="Z70" s="493"/>
      <c r="AA70" s="493"/>
    </row>
    <row r="71" spans="1:27" x14ac:dyDescent="0.25">
      <c r="E71" s="80"/>
      <c r="F71" s="80"/>
      <c r="H71" s="80"/>
      <c r="I71" s="80"/>
      <c r="K71" s="80"/>
      <c r="L71" s="203"/>
      <c r="O71" s="80"/>
      <c r="S71" s="484"/>
      <c r="U71" s="493"/>
      <c r="V71" s="493"/>
      <c r="W71" s="508"/>
      <c r="X71" s="493"/>
      <c r="Y71" s="186"/>
      <c r="Z71" s="493"/>
      <c r="AA71" s="493"/>
    </row>
    <row r="72" spans="1:27" ht="15.75" x14ac:dyDescent="0.25">
      <c r="B72" s="15"/>
      <c r="C72" s="15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568"/>
      <c r="V72" s="568"/>
      <c r="W72" s="15"/>
      <c r="X72" s="15"/>
      <c r="Y72" s="15"/>
      <c r="Z72" s="493"/>
      <c r="AA72" s="493"/>
    </row>
    <row r="73" spans="1:27" x14ac:dyDescent="0.25">
      <c r="B73" s="521"/>
      <c r="C73" s="258"/>
      <c r="D73" s="17"/>
      <c r="E73" s="524"/>
      <c r="F73" s="525"/>
      <c r="G73" s="15"/>
      <c r="H73" s="15"/>
      <c r="I73" s="15"/>
      <c r="J73" s="17"/>
      <c r="K73" s="17"/>
      <c r="L73" s="156"/>
      <c r="M73" s="15"/>
      <c r="N73" s="527"/>
      <c r="O73" s="528"/>
      <c r="P73" s="521"/>
      <c r="Q73" s="15"/>
      <c r="R73" s="15"/>
      <c r="S73" s="524"/>
      <c r="T73" s="15"/>
      <c r="U73" s="640"/>
      <c r="V73" s="19"/>
      <c r="W73" s="15"/>
      <c r="X73" s="15"/>
      <c r="Y73" s="15"/>
      <c r="Z73" s="493"/>
      <c r="AA73" s="493"/>
    </row>
    <row r="74" spans="1:27" x14ac:dyDescent="0.25">
      <c r="B74" s="15"/>
      <c r="C74" s="15"/>
      <c r="D74" s="17"/>
      <c r="E74" s="17"/>
      <c r="F74" s="525"/>
      <c r="G74" s="529"/>
      <c r="H74" s="529"/>
      <c r="I74" s="15"/>
      <c r="J74" s="15"/>
      <c r="K74" s="15"/>
      <c r="L74" s="15"/>
      <c r="M74" s="19"/>
      <c r="N74" s="15"/>
      <c r="O74" s="15"/>
      <c r="P74" s="15"/>
      <c r="Q74" s="15"/>
      <c r="R74" s="521"/>
      <c r="S74" s="635"/>
      <c r="T74" s="15"/>
      <c r="U74" s="521"/>
      <c r="V74" s="15"/>
      <c r="W74" s="15"/>
      <c r="X74" s="15"/>
      <c r="Y74" s="15"/>
      <c r="Z74" s="58"/>
    </row>
    <row r="75" spans="1:27" x14ac:dyDescent="0.25">
      <c r="B75" s="19"/>
      <c r="C75" s="258"/>
      <c r="D75" s="17"/>
      <c r="E75" s="15"/>
      <c r="F75" s="525"/>
      <c r="G75" s="529"/>
      <c r="H75" s="529"/>
      <c r="I75" s="15"/>
      <c r="J75" s="17"/>
      <c r="K75" s="15"/>
      <c r="L75" s="158"/>
      <c r="M75" s="158"/>
      <c r="N75" s="159"/>
      <c r="O75" s="15"/>
      <c r="P75" s="15"/>
      <c r="Q75" s="15"/>
      <c r="R75" s="15"/>
      <c r="S75" s="524"/>
      <c r="T75" s="15"/>
      <c r="U75" s="19"/>
      <c r="V75" s="19"/>
      <c r="W75" s="15"/>
      <c r="X75" s="520"/>
      <c r="Y75" s="520"/>
      <c r="Z75" s="366"/>
    </row>
    <row r="76" spans="1:27" x14ac:dyDescent="0.25">
      <c r="B76" s="521"/>
      <c r="C76" s="521"/>
      <c r="D76" s="17"/>
      <c r="E76" s="15"/>
      <c r="F76" s="525"/>
      <c r="G76" s="529"/>
      <c r="H76" s="258"/>
      <c r="I76" s="15"/>
      <c r="J76" s="15"/>
      <c r="K76" s="15"/>
      <c r="L76" s="158"/>
      <c r="M76" s="15"/>
      <c r="N76" s="15"/>
      <c r="O76" s="15"/>
      <c r="P76" s="15"/>
      <c r="Q76" s="15"/>
      <c r="R76" s="15"/>
      <c r="S76" s="15"/>
      <c r="T76" s="15"/>
      <c r="U76" s="15"/>
      <c r="V76" s="19"/>
      <c r="W76" s="15"/>
      <c r="X76" s="15"/>
      <c r="Y76" s="15"/>
      <c r="Z76" s="58"/>
    </row>
    <row r="77" spans="1:27" x14ac:dyDescent="0.25">
      <c r="B77" s="521"/>
      <c r="C77" s="258"/>
      <c r="D77" s="17"/>
      <c r="E77" s="15"/>
      <c r="F77" s="525"/>
      <c r="G77" s="537"/>
      <c r="H77" s="529"/>
      <c r="I77" s="15"/>
      <c r="J77" s="531"/>
      <c r="K77" s="15"/>
      <c r="L77" s="158"/>
      <c r="M77" s="15"/>
      <c r="N77" s="15"/>
      <c r="O77" s="15"/>
      <c r="P77" s="15"/>
      <c r="Q77" s="15"/>
      <c r="R77" s="17"/>
      <c r="S77" s="524"/>
      <c r="T77" s="15"/>
      <c r="U77" s="15"/>
      <c r="V77" s="19"/>
      <c r="W77" s="15"/>
      <c r="X77" s="521"/>
      <c r="Y77" s="15"/>
      <c r="Z77" s="58"/>
    </row>
    <row r="78" spans="1:27" x14ac:dyDescent="0.25">
      <c r="B78" s="521"/>
      <c r="C78" s="258"/>
      <c r="D78" s="17"/>
      <c r="E78" s="15"/>
      <c r="F78" s="525"/>
      <c r="G78" s="529"/>
      <c r="H78" s="529"/>
      <c r="I78" s="529"/>
      <c r="J78" s="537"/>
      <c r="K78" s="15"/>
      <c r="L78" s="521"/>
      <c r="M78" s="15"/>
      <c r="N78" s="17"/>
      <c r="O78" s="17"/>
      <c r="P78" s="17"/>
      <c r="Q78" s="17"/>
      <c r="R78" s="15"/>
      <c r="S78" s="15"/>
      <c r="T78" s="15"/>
      <c r="U78" s="15"/>
      <c r="V78" s="15"/>
      <c r="W78" s="15"/>
      <c r="X78" s="15"/>
      <c r="Y78" s="15"/>
      <c r="Z78" s="58"/>
    </row>
    <row r="79" spans="1:27" x14ac:dyDescent="0.25">
      <c r="B79" s="524"/>
      <c r="C79" s="15"/>
      <c r="D79" s="17"/>
      <c r="E79" s="15"/>
      <c r="F79" s="525"/>
      <c r="G79" s="19"/>
      <c r="H79" s="15"/>
      <c r="I79" s="15"/>
      <c r="J79" s="537"/>
      <c r="K79" s="15"/>
      <c r="L79" s="15"/>
      <c r="M79" s="15"/>
      <c r="N79" s="17"/>
      <c r="O79" s="17"/>
      <c r="P79" s="17"/>
      <c r="Q79" s="17"/>
      <c r="R79" s="15"/>
      <c r="S79" s="15"/>
      <c r="T79" s="15"/>
      <c r="U79" s="15"/>
      <c r="V79" s="15"/>
      <c r="W79" s="15"/>
      <c r="X79" s="15"/>
      <c r="Y79" s="15"/>
      <c r="Z79" s="58"/>
    </row>
    <row r="80" spans="1:27" x14ac:dyDescent="0.25">
      <c r="B80" s="19"/>
      <c r="C80" s="527"/>
      <c r="D80" s="527"/>
      <c r="E80" s="532"/>
      <c r="F80" s="533"/>
      <c r="G80" s="533"/>
      <c r="H80" s="529"/>
      <c r="I80" s="15"/>
      <c r="J80" s="15"/>
      <c r="K80" s="15"/>
      <c r="L80" s="15"/>
      <c r="M80" s="15"/>
      <c r="N80" s="17"/>
      <c r="O80" s="17"/>
      <c r="P80" s="17"/>
      <c r="Q80" s="17"/>
      <c r="R80" s="17"/>
      <c r="S80" s="15"/>
      <c r="T80" s="15"/>
      <c r="U80" s="17"/>
      <c r="V80" s="524"/>
      <c r="W80" s="524"/>
      <c r="X80" s="524"/>
      <c r="Y80" s="17"/>
      <c r="Z80" s="364"/>
      <c r="AA80" s="364"/>
    </row>
    <row r="81" spans="2:27" ht="28.5" customHeight="1" x14ac:dyDescent="0.25">
      <c r="B81" s="521"/>
      <c r="C81" s="532"/>
      <c r="D81" s="533"/>
      <c r="E81" s="527"/>
      <c r="F81" s="534"/>
      <c r="G81" s="535"/>
      <c r="H81" s="521"/>
      <c r="I81" s="15"/>
      <c r="J81" s="15"/>
      <c r="K81" s="15"/>
      <c r="L81" s="15"/>
      <c r="M81" s="15"/>
      <c r="N81" s="536"/>
      <c r="O81" s="17"/>
      <c r="P81" s="17"/>
      <c r="Q81" s="17"/>
      <c r="R81" s="17"/>
      <c r="S81" s="15"/>
      <c r="T81" s="15"/>
      <c r="U81" s="17"/>
      <c r="V81" s="524"/>
      <c r="W81" s="524"/>
      <c r="X81" s="524"/>
      <c r="Y81" s="17"/>
      <c r="Z81" s="364"/>
      <c r="AA81" s="364"/>
    </row>
    <row r="82" spans="2:27" x14ac:dyDescent="0.25">
      <c r="B82" s="521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7"/>
      <c r="O82" s="17"/>
      <c r="P82" s="17"/>
      <c r="Q82" s="17"/>
      <c r="R82" s="17"/>
      <c r="S82" s="15"/>
      <c r="T82" s="15"/>
      <c r="U82" s="17"/>
      <c r="V82" s="524"/>
      <c r="W82" s="524"/>
      <c r="X82" s="524"/>
      <c r="Y82" s="17"/>
      <c r="Z82" s="364"/>
      <c r="AA82" s="364"/>
    </row>
    <row r="83" spans="2:27" x14ac:dyDescent="0.25">
      <c r="B83" s="521"/>
      <c r="C83" s="15"/>
      <c r="D83" s="15"/>
      <c r="E83" s="521"/>
      <c r="F83" s="15"/>
      <c r="G83" s="15"/>
      <c r="H83" s="15"/>
      <c r="I83" s="15"/>
      <c r="J83" s="15"/>
      <c r="K83" s="15"/>
      <c r="L83" s="15"/>
      <c r="M83" s="15"/>
      <c r="N83" s="17"/>
      <c r="O83" s="17"/>
      <c r="P83" s="17"/>
      <c r="Q83" s="17"/>
      <c r="R83" s="17"/>
      <c r="S83" s="15"/>
      <c r="T83" s="15"/>
      <c r="U83" s="17"/>
      <c r="V83" s="15"/>
      <c r="W83" s="524"/>
      <c r="X83" s="524"/>
      <c r="Y83" s="17"/>
      <c r="Z83" s="364"/>
      <c r="AA83" s="364"/>
    </row>
    <row r="84" spans="2:27" x14ac:dyDescent="0.25">
      <c r="B84" s="521"/>
      <c r="C84" s="15"/>
      <c r="D84" s="15"/>
      <c r="E84" s="521"/>
      <c r="F84" s="521"/>
      <c r="G84" s="15"/>
      <c r="H84" s="15"/>
      <c r="I84" s="15"/>
      <c r="J84" s="15"/>
      <c r="K84" s="15"/>
      <c r="L84" s="15"/>
      <c r="M84" s="15"/>
      <c r="N84" s="17"/>
      <c r="O84" s="17"/>
      <c r="P84" s="17"/>
      <c r="Q84" s="17"/>
      <c r="R84" s="17"/>
      <c r="S84" s="15"/>
      <c r="T84" s="15"/>
      <c r="U84" s="17"/>
      <c r="V84" s="524"/>
      <c r="W84" s="524"/>
      <c r="X84" s="524"/>
      <c r="Y84" s="17"/>
      <c r="Z84" s="364"/>
      <c r="AA84" s="364"/>
    </row>
    <row r="85" spans="2:27" x14ac:dyDescent="0.25">
      <c r="B85" s="521"/>
      <c r="C85" s="15"/>
      <c r="D85" s="15"/>
      <c r="E85" s="19"/>
      <c r="F85" s="15"/>
      <c r="G85" s="15"/>
      <c r="H85" s="15"/>
      <c r="I85" s="15"/>
      <c r="J85" s="15"/>
      <c r="K85" s="15"/>
      <c r="L85" s="15"/>
      <c r="M85" s="15"/>
      <c r="N85" s="17"/>
      <c r="O85" s="17"/>
      <c r="P85" s="17"/>
      <c r="Q85" s="17"/>
      <c r="R85" s="17"/>
      <c r="S85" s="15"/>
      <c r="T85" s="15"/>
      <c r="U85" s="17"/>
      <c r="V85" s="524"/>
      <c r="W85" s="524"/>
      <c r="X85" s="524"/>
      <c r="Y85" s="17"/>
      <c r="Z85" s="364"/>
      <c r="AA85" s="364"/>
    </row>
    <row r="86" spans="2:27" x14ac:dyDescent="0.25">
      <c r="B86" s="15"/>
      <c r="C86" s="15"/>
      <c r="D86" s="15"/>
      <c r="E86" s="19"/>
      <c r="F86" s="15"/>
      <c r="G86" s="15"/>
      <c r="H86" s="15"/>
      <c r="I86" s="15"/>
      <c r="J86" s="15"/>
      <c r="K86" s="15"/>
      <c r="L86" s="15"/>
      <c r="M86" s="15"/>
      <c r="N86" s="17"/>
      <c r="O86" s="17"/>
      <c r="P86" s="17"/>
      <c r="Q86" s="17"/>
      <c r="R86" s="17"/>
      <c r="S86" s="15"/>
      <c r="T86" s="15"/>
      <c r="U86" s="17"/>
      <c r="V86" s="524"/>
      <c r="W86" s="524"/>
      <c r="X86" s="524"/>
      <c r="Y86" s="17"/>
      <c r="Z86" s="364"/>
      <c r="AA86" s="364"/>
    </row>
    <row r="87" spans="2:27" x14ac:dyDescent="0.25">
      <c r="B87" s="15"/>
      <c r="C87" s="15"/>
      <c r="D87" s="15"/>
      <c r="E87" s="19"/>
      <c r="F87" s="17"/>
      <c r="G87" s="17"/>
      <c r="H87" s="16"/>
      <c r="I87" s="16"/>
      <c r="J87" s="15"/>
      <c r="K87" s="15"/>
      <c r="L87" s="15"/>
      <c r="M87" s="15"/>
      <c r="N87" s="17"/>
      <c r="O87" s="17"/>
      <c r="P87" s="17"/>
      <c r="Q87" s="17"/>
      <c r="R87" s="17"/>
      <c r="S87" s="15"/>
      <c r="T87" s="15"/>
      <c r="U87" s="15"/>
      <c r="V87" s="15"/>
      <c r="W87" s="15"/>
      <c r="X87" s="15"/>
      <c r="Y87" s="15"/>
      <c r="Z87" s="58"/>
      <c r="AA87" s="58"/>
    </row>
    <row r="88" spans="2:27" x14ac:dyDescent="0.25">
      <c r="B88" s="19"/>
      <c r="C88" s="15"/>
      <c r="D88" s="17"/>
      <c r="E88" s="15"/>
      <c r="F88" s="525"/>
      <c r="G88" s="525"/>
      <c r="H88" s="537"/>
      <c r="I88" s="537"/>
      <c r="J88" s="17"/>
      <c r="K88" s="537"/>
      <c r="L88" s="15"/>
      <c r="M88" s="15"/>
      <c r="N88" s="17"/>
      <c r="O88" s="17"/>
      <c r="P88" s="17"/>
      <c r="Q88" s="17"/>
      <c r="R88" s="17"/>
      <c r="S88" s="15"/>
      <c r="T88" s="529"/>
      <c r="U88" s="520"/>
      <c r="V88" s="520"/>
      <c r="W88" s="19"/>
      <c r="X88" s="520"/>
      <c r="Y88" s="15"/>
      <c r="AA88" s="2"/>
    </row>
    <row r="89" spans="2:27" x14ac:dyDescent="0.25">
      <c r="B89" s="15"/>
      <c r="C89" s="15"/>
      <c r="D89" s="17"/>
      <c r="E89" s="15"/>
      <c r="F89" s="538"/>
      <c r="G89" s="538"/>
      <c r="H89" s="546"/>
      <c r="I89" s="537"/>
      <c r="J89" s="17"/>
      <c r="K89" s="537"/>
      <c r="L89" s="15"/>
      <c r="M89" s="15"/>
      <c r="N89" s="15"/>
      <c r="O89" s="15"/>
      <c r="P89" s="17"/>
      <c r="Q89" s="17"/>
      <c r="R89" s="17"/>
      <c r="S89" s="17"/>
      <c r="T89" s="17"/>
      <c r="U89" s="19"/>
      <c r="V89" s="19"/>
      <c r="W89" s="15"/>
      <c r="X89" s="19"/>
      <c r="Y89" s="19"/>
    </row>
    <row r="90" spans="2:27" x14ac:dyDescent="0.25">
      <c r="B90" s="15"/>
      <c r="C90" s="15"/>
      <c r="D90" s="17"/>
      <c r="E90" s="15"/>
      <c r="F90" s="538"/>
      <c r="G90" s="538"/>
      <c r="H90" s="537"/>
      <c r="I90" s="537"/>
      <c r="J90" s="17"/>
      <c r="K90" s="537"/>
      <c r="L90" s="15"/>
      <c r="M90" s="15"/>
      <c r="N90" s="15"/>
      <c r="O90" s="15"/>
      <c r="P90" s="15"/>
      <c r="Q90" s="15"/>
      <c r="R90" s="15"/>
      <c r="S90" s="424"/>
      <c r="T90" s="15"/>
      <c r="U90" s="15"/>
      <c r="V90" s="15"/>
      <c r="W90" s="15"/>
      <c r="X90" s="19"/>
      <c r="Y90" s="15"/>
    </row>
    <row r="91" spans="2:27" x14ac:dyDescent="0.25">
      <c r="B91" s="15"/>
      <c r="C91" s="15"/>
      <c r="D91" s="17"/>
      <c r="E91" s="15"/>
      <c r="F91" s="538"/>
      <c r="G91" s="538"/>
      <c r="H91" s="537"/>
      <c r="I91" s="537"/>
      <c r="J91" s="17"/>
      <c r="K91" s="537"/>
      <c r="L91" s="15"/>
      <c r="M91" s="15"/>
      <c r="N91" s="15"/>
      <c r="O91" s="15"/>
      <c r="P91" s="15"/>
      <c r="Q91" s="17"/>
      <c r="R91" s="17"/>
      <c r="S91" s="15"/>
      <c r="T91" s="15"/>
      <c r="U91" s="524"/>
      <c r="V91" s="15"/>
      <c r="W91" s="15"/>
      <c r="X91" s="19"/>
      <c r="Y91" s="15"/>
    </row>
    <row r="92" spans="2:27" x14ac:dyDescent="0.25">
      <c r="B92" s="15"/>
      <c r="C92" s="15"/>
      <c r="D92" s="17"/>
      <c r="E92" s="15"/>
      <c r="F92" s="156"/>
      <c r="G92" s="156"/>
      <c r="H92" s="537"/>
      <c r="I92" s="537"/>
      <c r="J92" s="17"/>
      <c r="K92" s="537"/>
      <c r="L92" s="15"/>
      <c r="M92" s="15"/>
      <c r="N92" s="15"/>
      <c r="O92" s="15"/>
      <c r="P92" s="15"/>
      <c r="Q92" s="17"/>
      <c r="R92" s="17"/>
      <c r="S92" s="15"/>
      <c r="T92" s="15"/>
      <c r="U92" s="15"/>
      <c r="V92" s="652"/>
      <c r="W92" s="653"/>
      <c r="X92" s="15"/>
      <c r="Y92" s="15"/>
    </row>
    <row r="93" spans="2:27" x14ac:dyDescent="0.25">
      <c r="B93" s="15"/>
      <c r="C93" s="15"/>
      <c r="D93" s="17"/>
      <c r="E93" s="15"/>
      <c r="F93" s="539"/>
      <c r="G93" s="539"/>
      <c r="H93" s="537"/>
      <c r="I93" s="537"/>
      <c r="J93" s="17"/>
      <c r="K93" s="537"/>
      <c r="L93" s="15"/>
      <c r="M93" s="15"/>
      <c r="N93" s="15"/>
      <c r="O93" s="15"/>
      <c r="P93" s="15"/>
      <c r="Q93" s="17"/>
      <c r="R93" s="17"/>
      <c r="S93" s="15"/>
      <c r="T93" s="15"/>
      <c r="U93" s="258"/>
      <c r="V93" s="654"/>
      <c r="W93" s="15"/>
      <c r="X93" s="15"/>
      <c r="Y93" s="15"/>
      <c r="Z93" s="2"/>
      <c r="AA93" s="2"/>
    </row>
    <row r="94" spans="2:27" x14ac:dyDescent="0.25">
      <c r="B94" s="15"/>
      <c r="C94" s="15"/>
      <c r="D94" s="17"/>
      <c r="E94" s="15"/>
      <c r="F94" s="540"/>
      <c r="G94" s="540"/>
      <c r="H94" s="537"/>
      <c r="I94" s="537"/>
      <c r="J94" s="17"/>
      <c r="K94" s="537"/>
      <c r="L94" s="15"/>
      <c r="M94" s="15"/>
      <c r="N94" s="15"/>
      <c r="O94" s="15"/>
      <c r="P94" s="15"/>
      <c r="Q94" s="15"/>
      <c r="R94" s="17"/>
      <c r="S94" s="15"/>
      <c r="T94" s="15"/>
      <c r="U94" s="258"/>
      <c r="V94" s="654"/>
      <c r="W94" s="15"/>
      <c r="X94" s="15"/>
      <c r="Y94" s="15"/>
    </row>
    <row r="95" spans="2:27" x14ac:dyDescent="0.25">
      <c r="B95" s="521"/>
      <c r="C95" s="15"/>
      <c r="D95" s="15"/>
      <c r="E95" s="15"/>
      <c r="F95" s="525"/>
      <c r="G95" s="525"/>
      <c r="H95" s="537"/>
      <c r="I95" s="537"/>
      <c r="J95" s="17"/>
      <c r="K95" s="537"/>
      <c r="L95" s="15"/>
      <c r="M95" s="15"/>
      <c r="N95" s="15"/>
      <c r="O95" s="15"/>
      <c r="P95" s="15"/>
      <c r="Q95" s="17"/>
      <c r="R95" s="15"/>
      <c r="S95" s="15"/>
      <c r="T95" s="15"/>
      <c r="U95" s="258"/>
      <c r="V95" s="655"/>
      <c r="W95" s="656"/>
      <c r="X95" s="15"/>
      <c r="Y95" s="15"/>
      <c r="Z95" s="2"/>
    </row>
    <row r="96" spans="2:27" x14ac:dyDescent="0.25">
      <c r="B96" s="521"/>
      <c r="C96" s="541"/>
      <c r="D96" s="530"/>
      <c r="E96" s="542"/>
      <c r="F96" s="520"/>
      <c r="G96" s="520"/>
      <c r="H96" s="546"/>
      <c r="I96" s="546"/>
      <c r="J96" s="17"/>
      <c r="K96" s="17"/>
      <c r="L96" s="15"/>
      <c r="M96" s="15"/>
      <c r="N96" s="155"/>
      <c r="O96" s="155"/>
      <c r="P96" s="156"/>
      <c r="Q96" s="17"/>
      <c r="R96" s="15"/>
      <c r="S96" s="257"/>
      <c r="T96" s="15"/>
      <c r="U96" s="258"/>
      <c r="V96" s="654"/>
      <c r="W96" s="17"/>
      <c r="X96" s="657"/>
      <c r="Y96" s="15"/>
    </row>
    <row r="97" spans="1:26" x14ac:dyDescent="0.25">
      <c r="A97" s="603"/>
      <c r="B97" s="520"/>
      <c r="C97" s="520"/>
      <c r="D97" s="520"/>
      <c r="E97" s="544"/>
      <c r="F97" s="537"/>
      <c r="G97" s="424"/>
      <c r="H97" s="15"/>
      <c r="I97" s="15"/>
      <c r="J97" s="15"/>
      <c r="K97" s="15"/>
      <c r="L97" s="15"/>
      <c r="M97" s="15"/>
      <c r="N97" s="155"/>
      <c r="O97" s="155"/>
      <c r="P97" s="156"/>
      <c r="Q97" s="258"/>
      <c r="R97" s="15"/>
      <c r="S97" s="257"/>
      <c r="T97" s="15"/>
      <c r="U97" s="258"/>
      <c r="V97" s="654"/>
      <c r="W97" s="17"/>
      <c r="X97" s="657"/>
      <c r="Y97" s="15"/>
    </row>
    <row r="98" spans="1:26" x14ac:dyDescent="0.25">
      <c r="A98" s="603"/>
      <c r="B98" s="524"/>
      <c r="C98" s="524"/>
      <c r="D98" s="524"/>
      <c r="E98" s="544"/>
      <c r="F98" s="537"/>
      <c r="G98" s="424"/>
      <c r="H98" s="15"/>
      <c r="I98" s="15"/>
      <c r="J98" s="15"/>
      <c r="K98" s="15"/>
      <c r="L98" s="15"/>
      <c r="M98" s="15"/>
      <c r="N98" s="155"/>
      <c r="O98" s="155"/>
      <c r="P98" s="156"/>
      <c r="Q98" s="258"/>
      <c r="R98" s="15"/>
      <c r="S98" s="257"/>
      <c r="T98" s="15"/>
      <c r="U98" s="258"/>
      <c r="V98" s="654"/>
      <c r="W98" s="17"/>
      <c r="X98" s="657"/>
      <c r="Y98" s="19"/>
      <c r="Z98" s="2"/>
    </row>
    <row r="99" spans="1:26" x14ac:dyDescent="0.25">
      <c r="B99" s="524"/>
      <c r="C99" s="524"/>
      <c r="D99" s="524"/>
      <c r="E99" s="156"/>
      <c r="F99" s="537"/>
      <c r="G99" s="15"/>
      <c r="H99" s="257"/>
      <c r="I99" s="15"/>
      <c r="J99" s="15"/>
      <c r="K99" s="15"/>
      <c r="L99" s="15"/>
      <c r="M99" s="15"/>
      <c r="N99" s="155"/>
      <c r="O99" s="155"/>
      <c r="P99" s="156"/>
      <c r="Q99" s="258"/>
      <c r="R99" s="15"/>
      <c r="S99" s="15"/>
      <c r="T99" s="15"/>
      <c r="U99" s="258"/>
      <c r="V99" s="654"/>
      <c r="W99" s="17"/>
      <c r="X99" s="657"/>
      <c r="Y99" s="15"/>
    </row>
    <row r="100" spans="1:26" x14ac:dyDescent="0.25">
      <c r="B100" s="524"/>
      <c r="C100" s="524"/>
      <c r="D100" s="524"/>
      <c r="E100" s="525"/>
      <c r="F100" s="537"/>
      <c r="G100" s="15"/>
      <c r="H100" s="257"/>
      <c r="I100" s="546"/>
      <c r="J100" s="15"/>
      <c r="K100" s="15"/>
      <c r="L100" s="15"/>
      <c r="M100" s="15"/>
      <c r="N100" s="15"/>
      <c r="O100" s="15"/>
      <c r="P100" s="157"/>
      <c r="Q100" s="17"/>
      <c r="R100" s="15"/>
      <c r="S100" s="15"/>
      <c r="T100" s="17"/>
      <c r="U100" s="258"/>
      <c r="V100" s="655"/>
      <c r="W100" s="15"/>
      <c r="X100" s="658"/>
      <c r="Y100" s="15"/>
    </row>
    <row r="101" spans="1:26" x14ac:dyDescent="0.25">
      <c r="B101" s="15"/>
      <c r="C101" s="19"/>
      <c r="D101" s="543"/>
      <c r="E101" s="520"/>
      <c r="F101" s="158"/>
      <c r="G101" s="15"/>
      <c r="H101" s="257"/>
      <c r="I101" s="15"/>
      <c r="J101" s="15"/>
      <c r="K101" s="15"/>
      <c r="L101" s="15"/>
      <c r="M101" s="15"/>
      <c r="N101" s="15"/>
      <c r="O101" s="19"/>
      <c r="P101" s="19"/>
      <c r="Q101" s="17"/>
      <c r="R101" s="15"/>
      <c r="S101" s="15"/>
      <c r="T101" s="15"/>
      <c r="U101" s="15"/>
      <c r="V101" s="15"/>
      <c r="W101" s="15"/>
      <c r="X101" s="15"/>
      <c r="Y101" s="15"/>
    </row>
    <row r="102" spans="1:26" x14ac:dyDescent="0.25">
      <c r="A102" s="26"/>
      <c r="B102" s="17"/>
      <c r="C102" s="17"/>
      <c r="D102" s="547"/>
      <c r="E102" s="548"/>
      <c r="F102" s="549"/>
      <c r="G102" s="549"/>
      <c r="H102" s="548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7"/>
      <c r="V102" s="17"/>
      <c r="W102" s="17"/>
      <c r="X102" s="17"/>
      <c r="Y102" s="15"/>
    </row>
    <row r="103" spans="1:26" ht="19.5" customHeight="1" x14ac:dyDescent="0.25">
      <c r="B103" s="15"/>
      <c r="C103" s="15"/>
      <c r="D103" s="535"/>
      <c r="E103" s="526"/>
      <c r="F103" s="156"/>
      <c r="G103" s="159"/>
      <c r="H103" s="550"/>
      <c r="I103" s="537"/>
      <c r="J103" s="17"/>
      <c r="K103" s="526"/>
      <c r="L103" s="526"/>
      <c r="M103" s="17"/>
      <c r="N103" s="195"/>
      <c r="O103" s="155"/>
      <c r="P103" s="158"/>
      <c r="Q103" s="15"/>
      <c r="R103" s="15"/>
      <c r="S103" s="15"/>
      <c r="T103" s="15"/>
      <c r="U103" s="17"/>
      <c r="V103" s="552"/>
      <c r="W103" s="552"/>
      <c r="X103" s="564"/>
      <c r="Y103" s="19"/>
    </row>
    <row r="104" spans="1:26" ht="19.5" customHeight="1" x14ac:dyDescent="0.25">
      <c r="B104" s="15"/>
      <c r="C104" s="15"/>
      <c r="D104" s="551"/>
      <c r="E104" s="156"/>
      <c r="F104" s="156"/>
      <c r="G104" s="552"/>
      <c r="H104" s="550"/>
      <c r="I104" s="537"/>
      <c r="J104" s="17"/>
      <c r="K104" s="526"/>
      <c r="L104" s="526"/>
      <c r="M104" s="17"/>
      <c r="N104" s="195"/>
      <c r="O104" s="17"/>
      <c r="P104" s="17"/>
      <c r="Q104" s="15"/>
      <c r="R104" s="15"/>
      <c r="S104" s="15"/>
      <c r="T104" s="15"/>
      <c r="U104" s="258"/>
      <c r="V104" s="159"/>
      <c r="W104" s="159"/>
      <c r="X104" s="533"/>
      <c r="Y104" s="19"/>
    </row>
    <row r="105" spans="1:26" x14ac:dyDescent="0.25">
      <c r="B105" s="15"/>
      <c r="C105" s="15"/>
      <c r="D105" s="553"/>
      <c r="E105" s="156"/>
      <c r="F105" s="156"/>
      <c r="G105" s="526"/>
      <c r="H105" s="550"/>
      <c r="I105" s="537"/>
      <c r="J105" s="17"/>
      <c r="K105" s="526"/>
      <c r="L105" s="526"/>
      <c r="M105" s="17"/>
      <c r="N105" s="195"/>
      <c r="O105" s="17"/>
      <c r="P105" s="159"/>
      <c r="Q105" s="15"/>
      <c r="R105" s="15"/>
      <c r="S105" s="15"/>
      <c r="T105" s="15"/>
      <c r="U105" s="258"/>
      <c r="V105" s="524"/>
      <c r="W105" s="524"/>
      <c r="X105" s="17"/>
      <c r="Y105" s="19"/>
    </row>
    <row r="106" spans="1:26" x14ac:dyDescent="0.25">
      <c r="B106" s="15"/>
      <c r="C106" s="15"/>
      <c r="D106" s="554"/>
      <c r="E106" s="156"/>
      <c r="F106" s="156"/>
      <c r="G106" s="156"/>
      <c r="H106" s="550"/>
      <c r="I106" s="537"/>
      <c r="J106" s="17"/>
      <c r="K106" s="526"/>
      <c r="L106" s="526"/>
      <c r="M106" s="17"/>
      <c r="N106" s="195"/>
      <c r="O106" s="638"/>
      <c r="P106" s="159"/>
      <c r="Q106" s="15"/>
      <c r="R106" s="15"/>
      <c r="S106" s="15"/>
      <c r="T106" s="15"/>
      <c r="U106" s="258"/>
      <c r="V106" s="552"/>
      <c r="W106" s="552"/>
      <c r="X106" s="17"/>
      <c r="Y106" s="19"/>
    </row>
    <row r="107" spans="1:26" ht="21" customHeight="1" x14ac:dyDescent="0.25">
      <c r="A107" s="651"/>
      <c r="B107" s="17"/>
      <c r="C107" s="17"/>
      <c r="D107" s="15"/>
      <c r="E107" s="524"/>
      <c r="F107" s="524"/>
      <c r="G107" s="526"/>
      <c r="H107" s="550"/>
      <c r="I107" s="537"/>
      <c r="J107" s="17"/>
      <c r="K107" s="526"/>
      <c r="L107" s="526"/>
      <c r="M107" s="17"/>
      <c r="N107" s="195"/>
      <c r="O107" s="638"/>
      <c r="P107" s="159"/>
      <c r="Q107" s="15"/>
      <c r="R107" s="15"/>
      <c r="S107" s="15"/>
      <c r="T107" s="15"/>
      <c r="U107" s="258"/>
      <c r="V107" s="514"/>
      <c r="W107" s="514"/>
      <c r="X107" s="569"/>
      <c r="Y107" s="19"/>
    </row>
    <row r="108" spans="1:26" ht="27.75" customHeight="1" x14ac:dyDescent="0.25">
      <c r="A108" s="651"/>
      <c r="B108" s="15"/>
      <c r="C108" s="15"/>
      <c r="D108" s="555"/>
      <c r="E108" s="156"/>
      <c r="F108" s="156"/>
      <c r="G108" s="526"/>
      <c r="H108" s="550"/>
      <c r="I108" s="537"/>
      <c r="J108" s="17"/>
      <c r="K108" s="526"/>
      <c r="L108" s="526"/>
      <c r="M108" s="15"/>
      <c r="N108" s="195"/>
      <c r="O108" s="643"/>
      <c r="P108" s="159"/>
      <c r="Q108" s="15"/>
      <c r="R108" s="15"/>
      <c r="S108" s="15"/>
      <c r="T108" s="15"/>
      <c r="U108" s="424"/>
      <c r="V108" s="516"/>
      <c r="W108" s="516"/>
      <c r="X108" s="569"/>
      <c r="Y108" s="15"/>
    </row>
    <row r="109" spans="1:26" x14ac:dyDescent="0.25">
      <c r="B109" s="15"/>
      <c r="C109" s="15"/>
      <c r="D109" s="155"/>
      <c r="E109" s="526"/>
      <c r="F109" s="526"/>
      <c r="G109" s="526"/>
      <c r="H109" s="550"/>
      <c r="I109" s="537"/>
      <c r="J109" s="638"/>
      <c r="K109" s="552"/>
      <c r="L109" s="552"/>
      <c r="M109" s="638"/>
      <c r="N109" s="195"/>
      <c r="O109" s="638"/>
      <c r="P109" s="159"/>
      <c r="Q109" s="17"/>
      <c r="R109" s="17"/>
      <c r="S109" s="15"/>
      <c r="T109" s="15"/>
      <c r="U109" s="424"/>
      <c r="V109" s="516"/>
      <c r="W109" s="516"/>
      <c r="X109" s="639"/>
      <c r="Y109" s="15"/>
    </row>
    <row r="110" spans="1:26" x14ac:dyDescent="0.25">
      <c r="B110" s="15"/>
      <c r="C110" s="15"/>
      <c r="D110" s="155"/>
      <c r="E110" s="526"/>
      <c r="F110" s="526"/>
      <c r="G110" s="526"/>
      <c r="H110" s="550"/>
      <c r="I110" s="17"/>
      <c r="J110" s="15"/>
      <c r="K110" s="526"/>
      <c r="L110" s="526"/>
      <c r="M110" s="552"/>
      <c r="N110" s="195"/>
      <c r="O110" s="160"/>
      <c r="P110" s="159"/>
      <c r="Q110" s="15"/>
      <c r="R110" s="15"/>
      <c r="S110" s="15"/>
      <c r="T110" s="15"/>
      <c r="U110" s="424"/>
      <c r="V110" s="518"/>
      <c r="W110" s="518"/>
      <c r="X110" s="639"/>
      <c r="Y110" s="15"/>
    </row>
    <row r="111" spans="1:26" x14ac:dyDescent="0.25">
      <c r="B111" s="15"/>
      <c r="C111" s="15"/>
      <c r="D111" s="155"/>
      <c r="E111" s="526"/>
      <c r="F111" s="526"/>
      <c r="G111" s="526"/>
      <c r="H111" s="550"/>
      <c r="I111" s="17"/>
      <c r="J111" s="15"/>
      <c r="K111" s="526"/>
      <c r="L111" s="516"/>
      <c r="M111" s="516"/>
      <c r="N111" s="195"/>
      <c r="O111" s="160"/>
      <c r="P111" s="159"/>
      <c r="Q111" s="17"/>
      <c r="R111" s="17"/>
      <c r="S111" s="15"/>
      <c r="T111" s="15"/>
      <c r="U111" s="424"/>
      <c r="V111" s="516"/>
      <c r="W111" s="516"/>
      <c r="X111" s="639"/>
      <c r="Y111" s="15"/>
    </row>
    <row r="112" spans="1:26" x14ac:dyDescent="0.25">
      <c r="B112" s="15"/>
      <c r="C112" s="15"/>
      <c r="D112" s="159"/>
      <c r="E112" s="159"/>
      <c r="F112" s="159"/>
      <c r="G112" s="526"/>
      <c r="H112" s="550"/>
      <c r="I112" s="17"/>
      <c r="J112" s="15"/>
      <c r="K112" s="638"/>
      <c r="L112" s="638"/>
      <c r="M112" s="159"/>
      <c r="N112" s="195"/>
      <c r="O112" s="160"/>
      <c r="P112" s="159"/>
      <c r="Q112" s="15"/>
      <c r="R112" s="15"/>
      <c r="S112" s="15"/>
      <c r="T112" s="15"/>
      <c r="U112" s="17"/>
      <c r="V112" s="159"/>
      <c r="W112" s="159"/>
      <c r="X112" s="155"/>
      <c r="Y112" s="15"/>
    </row>
    <row r="113" spans="1:26" x14ac:dyDescent="0.25">
      <c r="B113" s="15"/>
      <c r="C113" s="15"/>
      <c r="D113" s="556"/>
      <c r="E113" s="557"/>
      <c r="F113" s="644"/>
      <c r="G113" s="557"/>
      <c r="H113" s="557"/>
      <c r="I113" s="15"/>
      <c r="J113" s="15"/>
      <c r="K113" s="19"/>
      <c r="L113" s="15"/>
      <c r="M113" s="15"/>
      <c r="N113" s="155"/>
      <c r="O113" s="160"/>
      <c r="P113" s="159"/>
      <c r="Q113" s="15"/>
      <c r="R113" s="15"/>
      <c r="S113" s="15"/>
      <c r="T113" s="15"/>
      <c r="U113" s="17"/>
      <c r="V113" s="159"/>
      <c r="W113" s="159"/>
      <c r="X113" s="155"/>
      <c r="Y113" s="15"/>
    </row>
    <row r="114" spans="1:26" x14ac:dyDescent="0.25">
      <c r="B114" s="15"/>
      <c r="C114" s="15"/>
      <c r="D114" s="556"/>
      <c r="E114" s="557"/>
      <c r="F114" s="557"/>
      <c r="G114" s="557"/>
      <c r="H114" s="557"/>
      <c r="I114" s="15"/>
      <c r="J114" s="15"/>
      <c r="K114" s="15"/>
      <c r="L114" s="15"/>
      <c r="M114" s="15"/>
      <c r="N114" s="155"/>
      <c r="O114" s="160"/>
      <c r="P114" s="159"/>
      <c r="Q114" s="15"/>
      <c r="R114" s="15"/>
      <c r="S114" s="15"/>
      <c r="T114" s="15"/>
      <c r="U114" s="17"/>
      <c r="V114" s="524"/>
      <c r="W114" s="524"/>
      <c r="X114" s="17"/>
      <c r="Y114" s="19"/>
    </row>
    <row r="115" spans="1:26" x14ac:dyDescent="0.25">
      <c r="B115" s="15"/>
      <c r="C115" s="15"/>
      <c r="D115" s="533"/>
      <c r="E115" s="557"/>
      <c r="F115" s="545"/>
      <c r="G115" s="545"/>
      <c r="H115" s="545"/>
      <c r="I115" s="15"/>
      <c r="J115" s="15"/>
      <c r="K115" s="15"/>
      <c r="L115" s="15"/>
      <c r="M115" s="15"/>
      <c r="N115" s="15"/>
      <c r="O115" s="161"/>
      <c r="P115" s="156"/>
      <c r="Q115" s="15"/>
      <c r="R115" s="15"/>
      <c r="S115" s="15"/>
      <c r="T115" s="15"/>
      <c r="U115" s="17"/>
      <c r="V115" s="159"/>
      <c r="W115" s="159"/>
      <c r="X115" s="519"/>
      <c r="Y115" s="15"/>
    </row>
    <row r="116" spans="1:26" x14ac:dyDescent="0.25">
      <c r="B116" s="15"/>
      <c r="C116" s="15"/>
      <c r="D116" s="155"/>
      <c r="E116" s="542"/>
      <c r="F116" s="558"/>
      <c r="G116" s="542"/>
      <c r="H116" s="542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514"/>
      <c r="W116" s="514"/>
      <c r="X116" s="569"/>
      <c r="Y116" s="19"/>
    </row>
    <row r="117" spans="1:26" x14ac:dyDescent="0.25">
      <c r="B117" s="15"/>
      <c r="C117" s="15"/>
      <c r="D117" s="535"/>
      <c r="E117" s="526"/>
      <c r="F117" s="526"/>
      <c r="G117" s="526"/>
      <c r="H117" s="559"/>
      <c r="I117" s="15"/>
      <c r="J117" s="15"/>
      <c r="K117" s="17"/>
      <c r="L117" s="15"/>
      <c r="M117" s="560"/>
      <c r="N117" s="15"/>
      <c r="O117" s="543"/>
      <c r="P117" s="15"/>
      <c r="Q117" s="15"/>
      <c r="R117" s="15"/>
      <c r="S117" s="15"/>
      <c r="T117" s="15"/>
      <c r="U117" s="158"/>
      <c r="V117" s="552"/>
      <c r="W117" s="552"/>
      <c r="X117" s="17"/>
      <c r="Y117" s="19"/>
      <c r="Z117">
        <f>Z103+Z104+Z105+Z106+Z112+Z113+Z114+Z115</f>
        <v>0</v>
      </c>
    </row>
    <row r="118" spans="1:26" x14ac:dyDescent="0.25">
      <c r="B118" s="15"/>
      <c r="C118" s="15"/>
      <c r="D118" s="551"/>
      <c r="E118" s="156"/>
      <c r="F118" s="156"/>
      <c r="G118" s="156"/>
      <c r="H118" s="550"/>
      <c r="I118" s="15"/>
      <c r="J118" s="15"/>
      <c r="K118" s="15"/>
      <c r="L118" s="15"/>
      <c r="M118" s="561"/>
      <c r="N118" s="15"/>
      <c r="O118" s="543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6" x14ac:dyDescent="0.25">
      <c r="B119" s="15"/>
      <c r="C119" s="15"/>
      <c r="D119" s="562"/>
      <c r="E119" s="156"/>
      <c r="F119" s="156"/>
      <c r="G119" s="156"/>
      <c r="H119" s="550"/>
      <c r="I119" s="15"/>
      <c r="J119" s="15"/>
      <c r="K119" s="15"/>
      <c r="L119" s="15"/>
      <c r="M119" s="159"/>
      <c r="N119" s="15"/>
      <c r="O119" s="543"/>
      <c r="P119" s="15"/>
      <c r="Q119" s="15"/>
      <c r="R119" s="15"/>
      <c r="S119" s="15"/>
      <c r="T119" s="15"/>
      <c r="U119" s="15"/>
      <c r="V119" s="15"/>
      <c r="W119" s="19"/>
      <c r="X119" s="15"/>
      <c r="Y119" s="19"/>
    </row>
    <row r="120" spans="1:26" x14ac:dyDescent="0.25">
      <c r="B120" s="15"/>
      <c r="C120" s="15"/>
      <c r="D120" s="553"/>
      <c r="E120" s="156"/>
      <c r="F120" s="156"/>
      <c r="G120" s="156"/>
      <c r="H120" s="550"/>
      <c r="I120" s="15"/>
      <c r="J120" s="15"/>
      <c r="K120" s="15"/>
      <c r="L120" s="15"/>
      <c r="M120" s="563"/>
      <c r="N120" s="17"/>
      <c r="O120" s="543"/>
      <c r="P120" s="15"/>
      <c r="Q120" s="15"/>
      <c r="R120" s="15"/>
      <c r="S120" s="15"/>
      <c r="T120" s="15"/>
      <c r="U120" s="652"/>
      <c r="V120" s="653"/>
      <c r="W120" s="15"/>
      <c r="X120" s="15"/>
      <c r="Y120" s="15"/>
    </row>
    <row r="121" spans="1:26" x14ac:dyDescent="0.25">
      <c r="B121" s="15"/>
      <c r="C121" s="15"/>
      <c r="D121" s="549"/>
      <c r="E121" s="526"/>
      <c r="F121" s="526"/>
      <c r="G121" s="526"/>
      <c r="H121" s="550"/>
      <c r="I121" s="17"/>
      <c r="J121" s="15"/>
      <c r="K121" s="17"/>
      <c r="L121" s="17"/>
      <c r="M121" s="552"/>
      <c r="N121" s="15"/>
      <c r="O121" s="543"/>
      <c r="P121" s="15"/>
      <c r="Q121" s="15"/>
      <c r="R121" s="15"/>
      <c r="S121" s="15"/>
      <c r="T121" s="15"/>
      <c r="U121" s="654"/>
      <c r="V121" s="15"/>
      <c r="W121" s="15"/>
      <c r="X121" s="19"/>
      <c r="Y121" s="15"/>
    </row>
    <row r="122" spans="1:26" x14ac:dyDescent="0.25">
      <c r="A122" s="158"/>
      <c r="B122" s="15"/>
      <c r="C122" s="15"/>
      <c r="D122" s="564"/>
      <c r="E122" s="552"/>
      <c r="F122" s="552"/>
      <c r="G122" s="552"/>
      <c r="H122" s="565"/>
      <c r="I122" s="17"/>
      <c r="J122" s="15"/>
      <c r="K122" s="15"/>
      <c r="L122" s="15"/>
      <c r="M122" s="561"/>
      <c r="N122" s="15"/>
      <c r="O122" s="543"/>
      <c r="P122" s="15"/>
      <c r="Q122" s="15"/>
      <c r="R122" s="15"/>
      <c r="S122" s="15"/>
      <c r="T122" s="15"/>
      <c r="U122" s="654"/>
      <c r="V122" s="15"/>
      <c r="W122" s="15"/>
      <c r="X122" s="15"/>
      <c r="Y122" s="15"/>
      <c r="Z122" s="15"/>
    </row>
    <row r="123" spans="1:26" x14ac:dyDescent="0.25">
      <c r="A123" s="55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9"/>
      <c r="N123" s="17"/>
      <c r="O123" s="543"/>
      <c r="P123" s="15"/>
      <c r="Q123" s="15"/>
      <c r="R123" s="15"/>
      <c r="S123" s="15"/>
      <c r="T123" s="15"/>
      <c r="U123" s="655"/>
      <c r="V123" s="656"/>
      <c r="W123" s="15"/>
      <c r="X123" s="15"/>
      <c r="Y123" s="15"/>
      <c r="Z123" s="15"/>
    </row>
    <row r="124" spans="1:26" x14ac:dyDescent="0.25">
      <c r="A124" s="15"/>
      <c r="B124" s="17"/>
      <c r="C124" s="15"/>
      <c r="D124" s="535"/>
      <c r="E124" s="17"/>
      <c r="F124" s="520"/>
      <c r="G124" s="529"/>
      <c r="H124" s="15"/>
      <c r="I124" s="15"/>
      <c r="J124" s="15"/>
      <c r="K124" s="15"/>
      <c r="L124" s="15"/>
      <c r="M124" s="15"/>
      <c r="N124" s="17"/>
      <c r="O124" s="15"/>
      <c r="P124" s="15"/>
      <c r="Q124" s="15"/>
      <c r="R124" s="15"/>
      <c r="S124" s="15"/>
      <c r="T124" s="15"/>
      <c r="U124" s="654"/>
      <c r="V124" s="17"/>
      <c r="W124" s="15"/>
      <c r="X124" s="15"/>
      <c r="Y124" s="15"/>
      <c r="Z124" s="15"/>
    </row>
    <row r="125" spans="1:26" x14ac:dyDescent="0.25">
      <c r="A125" s="15"/>
      <c r="B125" s="15"/>
      <c r="C125" s="15"/>
      <c r="D125" s="551"/>
      <c r="E125" s="17"/>
      <c r="F125" s="520"/>
      <c r="G125" s="529"/>
      <c r="H125" s="15"/>
      <c r="I125" s="15"/>
      <c r="J125" s="15"/>
      <c r="K125" s="15"/>
      <c r="L125" s="15"/>
      <c r="M125" s="526"/>
      <c r="N125" s="15"/>
      <c r="O125" s="15"/>
      <c r="P125" s="15"/>
      <c r="Q125" s="15"/>
      <c r="R125" s="15"/>
      <c r="S125" s="15"/>
      <c r="T125" s="15"/>
      <c r="U125" s="654"/>
      <c r="V125" s="17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424"/>
      <c r="F126" s="566"/>
      <c r="G126" s="15"/>
      <c r="H126" s="15"/>
      <c r="I126" s="19"/>
      <c r="J126" s="15"/>
      <c r="K126" s="15"/>
      <c r="L126" s="15"/>
      <c r="M126" s="520"/>
      <c r="N126" s="257"/>
      <c r="O126" s="526"/>
      <c r="P126" s="17"/>
      <c r="Q126" s="15"/>
      <c r="R126" s="15"/>
      <c r="S126" s="15"/>
      <c r="T126" s="15"/>
      <c r="U126" s="654"/>
      <c r="V126" s="17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654"/>
      <c r="V127" s="17"/>
      <c r="W127" s="15"/>
      <c r="X127" s="15"/>
      <c r="Y127" s="15"/>
      <c r="Z127" s="15"/>
    </row>
    <row r="128" spans="1:26" ht="15.75" x14ac:dyDescent="0.25">
      <c r="A128" s="15"/>
      <c r="B128" s="15"/>
      <c r="C128" s="15"/>
      <c r="D128" s="15"/>
      <c r="E128" s="567"/>
      <c r="F128" s="568"/>
      <c r="G128" s="15"/>
      <c r="H128" s="15"/>
      <c r="I128" s="15"/>
      <c r="J128" s="15"/>
      <c r="K128" s="15"/>
      <c r="L128" s="15"/>
      <c r="M128" s="257"/>
      <c r="N128" s="15"/>
      <c r="O128" s="15"/>
      <c r="P128" s="15"/>
      <c r="Q128" s="15"/>
      <c r="R128" s="15"/>
      <c r="S128" s="15"/>
      <c r="T128" s="15"/>
      <c r="U128" s="65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7"/>
      <c r="D129" s="15"/>
      <c r="E129" s="15"/>
      <c r="F129" s="15"/>
      <c r="G129" s="15"/>
      <c r="H129" s="15"/>
      <c r="I129" s="17"/>
      <c r="J129" s="159"/>
      <c r="K129" s="15"/>
      <c r="L129" s="15"/>
      <c r="M129" s="257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7"/>
      <c r="D130" s="15"/>
      <c r="E130" s="15"/>
      <c r="F130" s="15"/>
      <c r="G130" s="15"/>
      <c r="H130" s="15"/>
      <c r="I130" s="15"/>
      <c r="J130" s="15"/>
      <c r="K130" s="15"/>
      <c r="L130" s="15"/>
      <c r="M130" s="530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530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659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660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659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659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659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660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659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659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659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659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659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659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660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659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659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660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659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659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659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659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659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659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659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659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660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659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660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659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659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659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659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660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659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660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659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659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659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659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660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660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659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659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659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659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659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660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659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659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659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659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659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659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659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659"/>
      <c r="T186" s="15"/>
      <c r="U186" s="15"/>
      <c r="V186" s="15"/>
      <c r="W186" s="15"/>
      <c r="X186" s="15"/>
      <c r="Y186" s="15"/>
      <c r="Z186" s="15"/>
    </row>
    <row r="187" spans="1:26" x14ac:dyDescent="0.25">
      <c r="Q187" s="58"/>
      <c r="R187" s="58"/>
      <c r="S187" s="649"/>
      <c r="T187" s="58"/>
      <c r="U187" s="58"/>
    </row>
    <row r="188" spans="1:26" x14ac:dyDescent="0.25">
      <c r="Q188" s="58"/>
      <c r="R188" s="58"/>
      <c r="S188" s="649"/>
      <c r="T188" s="58"/>
      <c r="U188" s="58"/>
    </row>
    <row r="189" spans="1:26" x14ac:dyDescent="0.25">
      <c r="Q189" s="58"/>
      <c r="R189" s="58"/>
      <c r="S189" s="649"/>
      <c r="T189" s="58"/>
      <c r="U189" s="58"/>
    </row>
    <row r="190" spans="1:26" x14ac:dyDescent="0.25">
      <c r="Q190" s="58"/>
      <c r="R190" s="58"/>
      <c r="S190" s="649"/>
      <c r="T190" s="58"/>
      <c r="U190" s="58"/>
    </row>
    <row r="191" spans="1:26" x14ac:dyDescent="0.25">
      <c r="Q191" s="58"/>
      <c r="R191" s="58"/>
      <c r="S191" s="811"/>
      <c r="T191" s="58"/>
      <c r="U191" s="58"/>
    </row>
    <row r="192" spans="1:26" x14ac:dyDescent="0.25">
      <c r="Q192" s="58"/>
      <c r="R192" s="58"/>
      <c r="S192" s="811"/>
      <c r="T192" s="58"/>
      <c r="U192" s="58"/>
    </row>
    <row r="193" spans="17:21" x14ac:dyDescent="0.25">
      <c r="Q193" s="58"/>
      <c r="R193" s="58"/>
      <c r="S193" s="649"/>
      <c r="T193" s="58"/>
      <c r="U193" s="58"/>
    </row>
    <row r="194" spans="17:21" x14ac:dyDescent="0.25">
      <c r="Q194" s="58"/>
      <c r="R194" s="58"/>
      <c r="S194" s="649"/>
      <c r="T194" s="58"/>
      <c r="U194" s="58"/>
    </row>
    <row r="195" spans="17:21" x14ac:dyDescent="0.25">
      <c r="Q195" s="58"/>
      <c r="R195" s="58"/>
      <c r="S195" s="649"/>
      <c r="T195" s="58"/>
      <c r="U195" s="58"/>
    </row>
    <row r="196" spans="17:21" x14ac:dyDescent="0.25">
      <c r="Q196" s="58"/>
      <c r="R196" s="58"/>
      <c r="S196" s="649"/>
      <c r="T196" s="58"/>
      <c r="U196" s="58"/>
    </row>
    <row r="197" spans="17:21" x14ac:dyDescent="0.25">
      <c r="Q197" s="58"/>
      <c r="R197" s="58"/>
      <c r="S197" s="649"/>
      <c r="T197" s="58"/>
      <c r="U197" s="58"/>
    </row>
    <row r="198" spans="17:21" x14ac:dyDescent="0.25">
      <c r="Q198" s="58"/>
      <c r="R198" s="58"/>
      <c r="S198" s="649"/>
      <c r="T198" s="58"/>
      <c r="U198" s="58"/>
    </row>
    <row r="199" spans="17:21" x14ac:dyDescent="0.25">
      <c r="Q199" s="58"/>
      <c r="R199" s="58"/>
      <c r="S199" s="649"/>
      <c r="T199" s="58"/>
      <c r="U199" s="58"/>
    </row>
    <row r="200" spans="17:21" x14ac:dyDescent="0.25">
      <c r="Q200" s="58"/>
      <c r="R200" s="58"/>
      <c r="S200" s="649"/>
      <c r="T200" s="58"/>
      <c r="U200" s="58"/>
    </row>
    <row r="201" spans="17:21" x14ac:dyDescent="0.25">
      <c r="Q201" s="58"/>
      <c r="R201" s="58"/>
      <c r="S201" s="649"/>
      <c r="T201" s="58"/>
      <c r="U201" s="58"/>
    </row>
    <row r="202" spans="17:21" x14ac:dyDescent="0.25">
      <c r="Q202" s="58"/>
      <c r="R202" s="58"/>
      <c r="S202" s="650"/>
      <c r="T202" s="58"/>
      <c r="U202" s="58"/>
    </row>
    <row r="203" spans="17:21" x14ac:dyDescent="0.25">
      <c r="Q203" s="58"/>
      <c r="R203" s="58"/>
      <c r="S203" s="649"/>
      <c r="T203" s="58"/>
      <c r="U203" s="58"/>
    </row>
    <row r="204" spans="17:21" x14ac:dyDescent="0.25">
      <c r="Q204" s="58"/>
      <c r="R204" s="58"/>
      <c r="S204" s="649"/>
      <c r="T204" s="58"/>
      <c r="U204" s="58"/>
    </row>
    <row r="205" spans="17:21" x14ac:dyDescent="0.25">
      <c r="Q205" s="58"/>
      <c r="R205" s="58"/>
      <c r="S205" s="649"/>
      <c r="T205" s="58"/>
      <c r="U205" s="58"/>
    </row>
    <row r="206" spans="17:21" x14ac:dyDescent="0.25">
      <c r="Q206" s="58"/>
      <c r="R206" s="58"/>
      <c r="S206" s="649"/>
      <c r="T206" s="58"/>
      <c r="U206" s="58"/>
    </row>
    <row r="207" spans="17:21" x14ac:dyDescent="0.25">
      <c r="Q207" s="58"/>
      <c r="R207" s="58"/>
      <c r="S207" s="649"/>
      <c r="T207" s="58"/>
      <c r="U207" s="58"/>
    </row>
    <row r="208" spans="17:21" x14ac:dyDescent="0.25">
      <c r="Q208" s="58"/>
      <c r="R208" s="58"/>
      <c r="S208" s="649"/>
      <c r="T208" s="58"/>
      <c r="U208" s="58"/>
    </row>
    <row r="209" spans="17:21" x14ac:dyDescent="0.25">
      <c r="Q209" s="58"/>
      <c r="R209" s="58"/>
      <c r="S209" s="365"/>
      <c r="T209" s="58"/>
      <c r="U209" s="58"/>
    </row>
    <row r="210" spans="17:21" x14ac:dyDescent="0.25">
      <c r="Q210" s="58"/>
      <c r="R210" s="58"/>
      <c r="S210" s="58"/>
      <c r="T210" s="58"/>
      <c r="U210" s="58"/>
    </row>
    <row r="211" spans="17:21" x14ac:dyDescent="0.25">
      <c r="Q211" s="58"/>
      <c r="R211" s="58"/>
      <c r="S211" s="58"/>
      <c r="T211" s="58"/>
      <c r="U211" s="58"/>
    </row>
    <row r="212" spans="17:21" x14ac:dyDescent="0.25">
      <c r="Q212" s="58"/>
      <c r="R212" s="58"/>
      <c r="S212" s="58"/>
      <c r="T212" s="58"/>
      <c r="U212" s="58"/>
    </row>
    <row r="213" spans="17:21" x14ac:dyDescent="0.25">
      <c r="Q213" s="58"/>
      <c r="R213" s="58"/>
      <c r="S213" s="58"/>
      <c r="T213" s="58"/>
      <c r="U213" s="58"/>
    </row>
    <row r="214" spans="17:21" x14ac:dyDescent="0.25">
      <c r="Q214" s="58"/>
      <c r="R214" s="58"/>
      <c r="S214" s="58"/>
      <c r="T214" s="58"/>
      <c r="U214" s="58"/>
    </row>
    <row r="215" spans="17:21" x14ac:dyDescent="0.25">
      <c r="Q215" s="58"/>
      <c r="R215" s="58"/>
      <c r="S215" s="58"/>
      <c r="T215" s="58"/>
      <c r="U215" s="58"/>
    </row>
  </sheetData>
  <mergeCells count="65">
    <mergeCell ref="B67:C67"/>
    <mergeCell ref="B68:C68"/>
    <mergeCell ref="S191:S192"/>
    <mergeCell ref="B59:C59"/>
    <mergeCell ref="B60:C60"/>
    <mergeCell ref="B63:C63"/>
    <mergeCell ref="B64:C64"/>
    <mergeCell ref="B55:C55"/>
    <mergeCell ref="B56:C56"/>
    <mergeCell ref="B27:C27"/>
    <mergeCell ref="B28:C28"/>
    <mergeCell ref="B31:C31"/>
    <mergeCell ref="B32:C32"/>
    <mergeCell ref="B35:C35"/>
    <mergeCell ref="B36:C36"/>
    <mergeCell ref="B39:C39"/>
    <mergeCell ref="B40:C40"/>
    <mergeCell ref="B43:C43"/>
    <mergeCell ref="B44:C44"/>
    <mergeCell ref="B47:C47"/>
    <mergeCell ref="B48:C48"/>
    <mergeCell ref="B51:C51"/>
    <mergeCell ref="Q11:Q12"/>
    <mergeCell ref="R11:R12"/>
    <mergeCell ref="B13:C13"/>
    <mergeCell ref="B15:C15"/>
    <mergeCell ref="B52:C52"/>
    <mergeCell ref="B16:C16"/>
    <mergeCell ref="B19:C19"/>
    <mergeCell ref="B20:C20"/>
    <mergeCell ref="B23:C23"/>
    <mergeCell ref="B24:C24"/>
    <mergeCell ref="J10:L10"/>
    <mergeCell ref="M10:O10"/>
    <mergeCell ref="B11:C11"/>
    <mergeCell ref="E11:E12"/>
    <mergeCell ref="F11:F12"/>
    <mergeCell ref="H11:H12"/>
    <mergeCell ref="I11:I12"/>
    <mergeCell ref="K11:K12"/>
    <mergeCell ref="L11:L12"/>
    <mergeCell ref="N11:N12"/>
    <mergeCell ref="O11:O12"/>
    <mergeCell ref="J8:L8"/>
    <mergeCell ref="M8:O8"/>
    <mergeCell ref="P8:R8"/>
    <mergeCell ref="J9:L9"/>
    <mergeCell ref="M9:O9"/>
    <mergeCell ref="P9:R9"/>
    <mergeCell ref="D2:Q2"/>
    <mergeCell ref="G3:N3"/>
    <mergeCell ref="R4:T4"/>
    <mergeCell ref="A5:A10"/>
    <mergeCell ref="B5:C10"/>
    <mergeCell ref="D5:F10"/>
    <mergeCell ref="G5:I10"/>
    <mergeCell ref="J5:L5"/>
    <mergeCell ref="M5:O5"/>
    <mergeCell ref="P5:R5"/>
    <mergeCell ref="J6:L6"/>
    <mergeCell ref="M6:O6"/>
    <mergeCell ref="P6:R6"/>
    <mergeCell ref="J7:L7"/>
    <mergeCell ref="M7:O7"/>
    <mergeCell ref="P7:R7"/>
  </mergeCells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2017</vt:lpstr>
      <vt:lpstr>2018</vt:lpstr>
      <vt:lpstr>2019 ПЛЮС НМЦК НЕ СОСТОЯЛИСЬ</vt:lpstr>
      <vt:lpstr>2019 (2)</vt:lpstr>
      <vt:lpstr>ПРИЛОЖЕНИЕ 1 К ОТЧЕТУ плюс НМЦК</vt:lpstr>
      <vt:lpstr>ПРИЛОЖЕНИЕ К ОТЧЕТУ №1 2020</vt:lpstr>
      <vt:lpstr>2020 </vt:lpstr>
      <vt:lpstr>Приложение к отчету №1 2020 год</vt:lpstr>
      <vt:lpstr>Приоложение к отчету №1 2022год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2023-04-12T07:19:43Z</dcterms:modified>
</cp:coreProperties>
</file>